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70"/>
  </bookViews>
  <sheets>
    <sheet name="MANIFEST" sheetId="2" r:id="rId1"/>
  </sheets>
  <calcPr calcId="191028"/>
</workbook>
</file>

<file path=xl/calcChain.xml><?xml version="1.0" encoding="utf-8"?>
<calcChain xmlns="http://schemas.openxmlformats.org/spreadsheetml/2006/main">
  <c r="I458" i="2" l="1"/>
  <c r="I457" i="2"/>
  <c r="I456" i="2"/>
  <c r="I455" i="2"/>
  <c r="I454" i="2"/>
  <c r="I453" i="2"/>
  <c r="I452" i="2"/>
  <c r="I451" i="2"/>
  <c r="I450" i="2"/>
  <c r="I449" i="2"/>
  <c r="I446" i="2"/>
  <c r="I445" i="2"/>
  <c r="I448" i="2"/>
  <c r="I447" i="2"/>
  <c r="I439" i="2"/>
  <c r="I421" i="2"/>
  <c r="I444" i="2"/>
  <c r="I443" i="2"/>
  <c r="I426" i="2"/>
  <c r="I435" i="2"/>
  <c r="I442" i="2"/>
  <c r="I441" i="2"/>
  <c r="I440" i="2"/>
  <c r="I417" i="2"/>
  <c r="I420" i="2"/>
  <c r="I416" i="2"/>
  <c r="I438" i="2"/>
  <c r="I434" i="2"/>
  <c r="I432" i="2"/>
  <c r="I430" i="2"/>
  <c r="I437" i="2"/>
  <c r="I436" i="2"/>
  <c r="I431" i="2"/>
  <c r="I405" i="2"/>
  <c r="I401" i="2"/>
  <c r="I400" i="2"/>
  <c r="I399" i="2"/>
  <c r="I429" i="2"/>
  <c r="I428" i="2"/>
  <c r="I415" i="2"/>
  <c r="I414" i="2"/>
  <c r="I413" i="2"/>
  <c r="I425" i="2"/>
  <c r="I424" i="2"/>
  <c r="I433" i="2"/>
  <c r="I423" i="2"/>
  <c r="I409" i="2"/>
  <c r="I408" i="2"/>
  <c r="I407" i="2"/>
  <c r="I406" i="2"/>
  <c r="I418" i="2"/>
  <c r="I427" i="2"/>
  <c r="I422" i="2"/>
  <c r="I412" i="2"/>
  <c r="I419" i="2"/>
  <c r="I381" i="2"/>
  <c r="I411" i="2"/>
  <c r="I410" i="2"/>
  <c r="I404" i="2"/>
  <c r="I403" i="2"/>
  <c r="I402" i="2"/>
  <c r="I396" i="2"/>
  <c r="I398" i="2"/>
  <c r="I397" i="2"/>
  <c r="I395" i="2"/>
  <c r="I391" i="2"/>
  <c r="I389" i="2"/>
  <c r="I394" i="2"/>
  <c r="I393" i="2"/>
  <c r="I392" i="2"/>
  <c r="I388" i="2"/>
  <c r="I387" i="2"/>
  <c r="I386" i="2"/>
  <c r="I385" i="2"/>
  <c r="I382" i="2"/>
  <c r="I390" i="2"/>
  <c r="I380" i="2"/>
  <c r="I379" i="2"/>
  <c r="I378" i="2"/>
  <c r="I377" i="2"/>
  <c r="I384" i="2"/>
  <c r="I376" i="2"/>
  <c r="I375" i="2"/>
  <c r="I373" i="2"/>
  <c r="I374" i="2"/>
  <c r="I372" i="2"/>
  <c r="I371" i="2"/>
  <c r="I370" i="2"/>
  <c r="I365" i="2"/>
  <c r="I369" i="2"/>
  <c r="I368" i="2"/>
  <c r="I351" i="2"/>
  <c r="I364" i="2"/>
  <c r="I358" i="2"/>
  <c r="I363" i="2"/>
  <c r="I362" i="2"/>
  <c r="I361" i="2"/>
  <c r="I360" i="2"/>
  <c r="I359" i="2"/>
  <c r="I367" i="2"/>
  <c r="I366" i="2"/>
  <c r="I345" i="2"/>
  <c r="I357" i="2"/>
  <c r="I356" i="2"/>
  <c r="I355" i="2"/>
  <c r="I354" i="2"/>
  <c r="I353" i="2"/>
  <c r="I352" i="2"/>
  <c r="I350" i="2"/>
  <c r="I349" i="2"/>
  <c r="I347" i="2"/>
  <c r="I346" i="2"/>
  <c r="I342" i="2"/>
  <c r="I341" i="2"/>
  <c r="I340" i="2"/>
  <c r="I344" i="2"/>
  <c r="I343" i="2"/>
  <c r="I337" i="2"/>
  <c r="I339" i="2"/>
  <c r="I338" i="2"/>
  <c r="I335" i="2"/>
  <c r="I334" i="2"/>
  <c r="I548" i="2"/>
  <c r="I547" i="2"/>
  <c r="I546" i="2"/>
  <c r="I545" i="2"/>
  <c r="I544" i="2"/>
  <c r="I543" i="2"/>
  <c r="I533" i="2"/>
  <c r="I542" i="2"/>
  <c r="I541" i="2"/>
  <c r="I540" i="2"/>
  <c r="I519" i="2"/>
  <c r="I539" i="2"/>
  <c r="I538" i="2"/>
  <c r="I536" i="2"/>
  <c r="I535" i="2"/>
  <c r="I527" i="2"/>
  <c r="I530" i="2"/>
  <c r="I534" i="2"/>
  <c r="I532" i="2"/>
  <c r="I531" i="2"/>
  <c r="I537" i="2"/>
  <c r="I518" i="2"/>
  <c r="I517" i="2"/>
  <c r="I516" i="2"/>
  <c r="I526" i="2"/>
  <c r="I525" i="2"/>
  <c r="I529" i="2"/>
  <c r="I528" i="2"/>
  <c r="I513" i="2"/>
  <c r="I511" i="2"/>
  <c r="I524" i="2"/>
  <c r="I523" i="2"/>
  <c r="I515" i="2"/>
  <c r="I522" i="2"/>
  <c r="I521" i="2"/>
  <c r="I514" i="2"/>
  <c r="I520" i="2"/>
  <c r="I506" i="2"/>
  <c r="I512" i="2"/>
  <c r="I508" i="2"/>
  <c r="I509" i="2"/>
  <c r="I510" i="2"/>
  <c r="I507" i="2"/>
  <c r="I501" i="2"/>
  <c r="I505" i="2"/>
  <c r="I504" i="2"/>
  <c r="I503" i="2"/>
  <c r="I500" i="2"/>
  <c r="I502" i="2"/>
  <c r="I498" i="2"/>
  <c r="I497" i="2"/>
  <c r="I499" i="2"/>
  <c r="I496" i="2"/>
  <c r="I495" i="2"/>
  <c r="I494" i="2"/>
  <c r="I493" i="2"/>
  <c r="I491" i="2"/>
  <c r="I474" i="2"/>
  <c r="I490" i="2"/>
  <c r="I492" i="2"/>
  <c r="I489" i="2"/>
  <c r="I488" i="2"/>
  <c r="I487" i="2"/>
  <c r="I486" i="2"/>
  <c r="I482" i="2"/>
  <c r="I485" i="2"/>
  <c r="I483" i="2"/>
  <c r="I481" i="2"/>
  <c r="I479" i="2"/>
  <c r="I480" i="2"/>
  <c r="I473" i="2"/>
  <c r="I477" i="2"/>
  <c r="I476" i="2"/>
  <c r="I475" i="2"/>
  <c r="I472" i="2"/>
  <c r="I789" i="2"/>
  <c r="I791" i="2"/>
  <c r="I788" i="2"/>
  <c r="I787" i="2"/>
  <c r="I790" i="2"/>
  <c r="I784" i="2"/>
  <c r="I783" i="2"/>
  <c r="I786" i="2"/>
  <c r="I781" i="2"/>
  <c r="I785" i="2"/>
  <c r="I779" i="2"/>
  <c r="I780" i="2"/>
  <c r="I778" i="2"/>
  <c r="I782" i="2"/>
  <c r="I753" i="2"/>
  <c r="I752" i="2"/>
  <c r="I772" i="2"/>
  <c r="I770" i="2"/>
  <c r="I777" i="2"/>
  <c r="I776" i="2"/>
  <c r="I775" i="2"/>
  <c r="I774" i="2"/>
  <c r="I773" i="2"/>
  <c r="I771" i="2"/>
  <c r="I760" i="2"/>
  <c r="I759" i="2"/>
  <c r="I758" i="2"/>
  <c r="I769" i="2"/>
  <c r="I768" i="2"/>
  <c r="I766" i="2"/>
  <c r="I765" i="2"/>
  <c r="I767" i="2"/>
  <c r="I757" i="2"/>
  <c r="I764" i="2"/>
  <c r="I751" i="2"/>
  <c r="I761" i="2"/>
  <c r="I763" i="2"/>
  <c r="I750" i="2"/>
  <c r="I749" i="2"/>
  <c r="I756" i="2"/>
  <c r="I762" i="2"/>
  <c r="I755" i="2"/>
  <c r="I754" i="2"/>
  <c r="I736" i="2"/>
  <c r="I735" i="2"/>
  <c r="I742" i="2"/>
  <c r="I741" i="2"/>
  <c r="I748" i="2"/>
  <c r="I746" i="2"/>
  <c r="I743" i="2"/>
  <c r="I740" i="2"/>
  <c r="I745" i="2"/>
  <c r="I739" i="2"/>
  <c r="I738" i="2"/>
  <c r="I734" i="2"/>
  <c r="I744" i="2"/>
  <c r="I733" i="2"/>
  <c r="I732" i="2"/>
  <c r="I730" i="2"/>
  <c r="I731" i="2"/>
  <c r="I729" i="2"/>
  <c r="I728" i="2"/>
  <c r="I703" i="2"/>
  <c r="I726" i="2"/>
  <c r="I721" i="2"/>
  <c r="I686" i="2"/>
  <c r="I685" i="2"/>
  <c r="I684" i="2"/>
  <c r="I724" i="2"/>
  <c r="I723" i="2"/>
  <c r="I722" i="2"/>
  <c r="I719" i="2"/>
  <c r="I720" i="2"/>
  <c r="I717" i="2"/>
  <c r="I716" i="2"/>
  <c r="I725" i="2"/>
  <c r="I715" i="2"/>
  <c r="I714" i="2"/>
  <c r="I711" i="2"/>
  <c r="I718" i="2"/>
  <c r="I713" i="2"/>
  <c r="I709" i="2"/>
  <c r="I712" i="2"/>
  <c r="I698" i="2"/>
  <c r="I708" i="2"/>
  <c r="I707" i="2"/>
  <c r="I706" i="2"/>
  <c r="I705" i="2"/>
  <c r="I702" i="2"/>
  <c r="I701" i="2"/>
  <c r="I700" i="2"/>
  <c r="I704" i="2"/>
  <c r="I699" i="2"/>
  <c r="I696" i="2"/>
  <c r="I695" i="2"/>
  <c r="I694" i="2"/>
  <c r="I693" i="2"/>
  <c r="I692" i="2"/>
  <c r="I673" i="2"/>
  <c r="I690" i="2"/>
  <c r="I689" i="2"/>
  <c r="I687" i="2"/>
  <c r="I682" i="2"/>
  <c r="I688" i="2"/>
  <c r="I680" i="2"/>
  <c r="I679" i="2"/>
  <c r="I678" i="2"/>
  <c r="I677" i="2"/>
  <c r="I676" i="2"/>
  <c r="I675" i="2"/>
  <c r="I674" i="2"/>
  <c r="I681" i="2"/>
  <c r="I671" i="2"/>
  <c r="I670" i="2"/>
  <c r="I672" i="2"/>
  <c r="I668" i="2"/>
  <c r="I667" i="2"/>
  <c r="I666" i="2"/>
  <c r="I669" i="2"/>
  <c r="I665" i="2"/>
  <c r="I155" i="2"/>
  <c r="I154" i="2"/>
  <c r="I150" i="2"/>
  <c r="I153" i="2"/>
  <c r="I152" i="2"/>
  <c r="I146" i="2"/>
  <c r="I151" i="2"/>
  <c r="I149" i="2"/>
  <c r="I145" i="2"/>
  <c r="I148" i="2"/>
  <c r="I147" i="2"/>
  <c r="I133" i="2"/>
  <c r="I140" i="2"/>
  <c r="I144" i="2"/>
  <c r="I143" i="2"/>
  <c r="I142" i="2"/>
  <c r="I105" i="2"/>
  <c r="I115" i="2"/>
  <c r="I139" i="2"/>
  <c r="I141" i="2"/>
  <c r="I87" i="2"/>
  <c r="I138" i="2"/>
  <c r="I129" i="2"/>
  <c r="I137" i="2"/>
  <c r="I136" i="2"/>
  <c r="I135" i="2"/>
  <c r="I132" i="2"/>
  <c r="I125" i="2"/>
  <c r="I124" i="2"/>
  <c r="I123" i="2"/>
  <c r="I131" i="2"/>
  <c r="I122" i="2"/>
  <c r="I130" i="2"/>
  <c r="I121" i="2"/>
  <c r="I120" i="2"/>
  <c r="I110" i="2"/>
  <c r="I114" i="2"/>
  <c r="I113" i="2"/>
  <c r="I117" i="2"/>
  <c r="I134" i="2"/>
  <c r="I128" i="2"/>
  <c r="I127" i="2"/>
  <c r="I109" i="2"/>
  <c r="I96" i="2"/>
  <c r="I119" i="2"/>
  <c r="I97" i="2"/>
  <c r="I80" i="2"/>
  <c r="I118" i="2"/>
  <c r="I126" i="2"/>
  <c r="I116" i="2"/>
  <c r="I112" i="2"/>
  <c r="I95" i="2"/>
  <c r="I94" i="2"/>
  <c r="I93" i="2"/>
  <c r="I86" i="2"/>
  <c r="I85" i="2"/>
  <c r="I107" i="2"/>
  <c r="I106" i="2"/>
  <c r="I89" i="2"/>
  <c r="I76" i="2"/>
  <c r="I75" i="2"/>
  <c r="I111" i="2"/>
  <c r="I104" i="2"/>
  <c r="I103" i="2"/>
  <c r="I77" i="2"/>
  <c r="I100" i="2"/>
  <c r="I102" i="2"/>
  <c r="I73" i="2"/>
  <c r="I72" i="2"/>
  <c r="I99" i="2"/>
  <c r="I98" i="2"/>
  <c r="I92" i="2"/>
  <c r="I84" i="2"/>
  <c r="I81" i="2"/>
  <c r="I101" i="2"/>
  <c r="I88" i="2"/>
  <c r="I91" i="2"/>
  <c r="I90" i="2"/>
  <c r="I83" i="2"/>
  <c r="I62" i="2"/>
  <c r="I71" i="2"/>
  <c r="I82" i="2"/>
  <c r="I108" i="2"/>
  <c r="I64" i="2"/>
  <c r="I79" i="2"/>
  <c r="I70" i="2"/>
  <c r="I78" i="2"/>
  <c r="I69" i="2"/>
  <c r="I57" i="2"/>
  <c r="I65" i="2"/>
  <c r="I74" i="2"/>
  <c r="I68" i="2"/>
  <c r="I67" i="2"/>
  <c r="I66" i="2"/>
  <c r="I63" i="2"/>
  <c r="I61" i="2"/>
  <c r="I37" i="2"/>
  <c r="I60" i="2"/>
  <c r="I59" i="2"/>
  <c r="I58" i="2"/>
  <c r="I56" i="2"/>
  <c r="I55" i="2"/>
  <c r="I54" i="2"/>
  <c r="I31" i="2"/>
  <c r="I52" i="2"/>
  <c r="I51" i="2"/>
  <c r="I49" i="2"/>
  <c r="I48" i="2"/>
  <c r="I53" i="2"/>
  <c r="I46" i="2"/>
  <c r="I47" i="2"/>
  <c r="I44" i="2"/>
  <c r="I43" i="2"/>
  <c r="I42" i="2"/>
  <c r="I41" i="2"/>
  <c r="I40" i="2"/>
  <c r="I39" i="2"/>
  <c r="I38" i="2"/>
  <c r="I45" i="2"/>
  <c r="I36" i="2"/>
  <c r="I35" i="2"/>
  <c r="I33" i="2"/>
  <c r="I34" i="2"/>
  <c r="I32" i="2"/>
  <c r="I29" i="2"/>
  <c r="I30" i="2"/>
  <c r="I28" i="2"/>
  <c r="I27" i="2"/>
  <c r="I26" i="2"/>
  <c r="I25" i="2"/>
  <c r="I24" i="2"/>
  <c r="I23" i="2"/>
  <c r="I22" i="2"/>
  <c r="I19" i="2"/>
  <c r="I21" i="2"/>
  <c r="I20" i="2"/>
  <c r="I17" i="2"/>
  <c r="I16" i="2"/>
  <c r="I15" i="2"/>
  <c r="I14" i="2"/>
  <c r="I13" i="2"/>
  <c r="I12" i="2"/>
  <c r="I11" i="2"/>
  <c r="I10" i="2"/>
  <c r="I8" i="2"/>
  <c r="I9" i="2"/>
  <c r="I6" i="2"/>
  <c r="I5" i="2"/>
  <c r="I4" i="2"/>
  <c r="I2" i="2"/>
  <c r="I3" i="2"/>
  <c r="I1" i="2"/>
  <c r="I333" i="2"/>
  <c r="I330" i="2"/>
  <c r="I331" i="2"/>
  <c r="I332" i="2"/>
  <c r="I329" i="2"/>
  <c r="I328" i="2"/>
  <c r="I326" i="2"/>
  <c r="I325" i="2"/>
  <c r="I324" i="2"/>
  <c r="I323" i="2"/>
  <c r="I322" i="2"/>
  <c r="I321" i="2"/>
  <c r="I309" i="2"/>
  <c r="I308" i="2"/>
  <c r="I320" i="2"/>
  <c r="I319" i="2"/>
  <c r="I315" i="2"/>
  <c r="I318" i="2"/>
  <c r="I317" i="2"/>
  <c r="I316" i="2"/>
  <c r="I314" i="2"/>
  <c r="I313" i="2"/>
  <c r="I305" i="2"/>
  <c r="I327" i="2"/>
  <c r="I307" i="2"/>
  <c r="I303" i="2"/>
  <c r="I312" i="2"/>
  <c r="I310" i="2"/>
  <c r="I304" i="2"/>
  <c r="I311" i="2"/>
  <c r="I306" i="2"/>
  <c r="I301" i="2"/>
  <c r="I300" i="2"/>
  <c r="I299" i="2"/>
  <c r="I298" i="2"/>
  <c r="I280" i="2"/>
  <c r="I291" i="2"/>
  <c r="I290" i="2"/>
  <c r="I289" i="2"/>
  <c r="I297" i="2"/>
  <c r="I296" i="2"/>
  <c r="I275" i="2"/>
  <c r="I295" i="2"/>
  <c r="I262" i="2"/>
  <c r="I302" i="2"/>
  <c r="I294" i="2"/>
  <c r="I293" i="2"/>
  <c r="I272" i="2"/>
  <c r="I292" i="2"/>
  <c r="I288" i="2"/>
  <c r="I287" i="2"/>
  <c r="I270" i="2"/>
  <c r="I269" i="2"/>
  <c r="I268" i="2"/>
  <c r="I286" i="2"/>
  <c r="I285" i="2"/>
  <c r="I271" i="2"/>
  <c r="I279" i="2"/>
  <c r="I284" i="2"/>
  <c r="I283" i="2"/>
  <c r="I282" i="2"/>
  <c r="I281" i="2"/>
  <c r="I257" i="2"/>
  <c r="I256" i="2"/>
  <c r="I274" i="2"/>
  <c r="I255" i="2"/>
  <c r="I239" i="2"/>
  <c r="I276" i="2"/>
  <c r="I267" i="2"/>
  <c r="I266" i="2"/>
  <c r="I273" i="2"/>
  <c r="I265" i="2"/>
  <c r="I261" i="2"/>
  <c r="I278" i="2"/>
  <c r="I277" i="2"/>
  <c r="I260" i="2"/>
  <c r="I264" i="2"/>
  <c r="I263" i="2"/>
  <c r="I254" i="2"/>
  <c r="I253" i="2"/>
  <c r="I252" i="2"/>
  <c r="I227" i="2"/>
  <c r="I200" i="2"/>
  <c r="I259" i="2"/>
  <c r="I246" i="2"/>
  <c r="I241" i="2"/>
  <c r="I250" i="2"/>
  <c r="I245" i="2"/>
  <c r="I258" i="2"/>
  <c r="I232" i="2"/>
  <c r="I220" i="2"/>
  <c r="I249" i="2"/>
  <c r="I248" i="2"/>
  <c r="I244" i="2"/>
  <c r="I243" i="2"/>
  <c r="I242" i="2"/>
  <c r="I236" i="2"/>
  <c r="I240" i="2"/>
  <c r="I238" i="2"/>
  <c r="I234" i="2"/>
  <c r="I237" i="2"/>
  <c r="I235" i="2"/>
  <c r="I231" i="2"/>
  <c r="I230" i="2"/>
  <c r="I229" i="2"/>
  <c r="I228" i="2"/>
  <c r="I221" i="2"/>
  <c r="I226" i="2"/>
  <c r="I233" i="2"/>
  <c r="I192" i="2"/>
  <c r="I217" i="2"/>
  <c r="I225" i="2"/>
  <c r="I213" i="2"/>
  <c r="I224" i="2"/>
  <c r="I223" i="2"/>
  <c r="I212" i="2"/>
  <c r="I216" i="2"/>
  <c r="I215" i="2"/>
  <c r="I214" i="2"/>
  <c r="I219" i="2"/>
  <c r="I218" i="2"/>
  <c r="I211" i="2"/>
  <c r="I210" i="2"/>
  <c r="I207" i="2"/>
  <c r="I186" i="2"/>
  <c r="I206" i="2"/>
  <c r="I209" i="2"/>
  <c r="I208" i="2"/>
  <c r="I203" i="2"/>
  <c r="I202" i="2"/>
  <c r="I201" i="2"/>
  <c r="I199" i="2"/>
  <c r="I204" i="2"/>
  <c r="I197" i="2"/>
  <c r="I196" i="2"/>
  <c r="I195" i="2"/>
  <c r="I194" i="2"/>
  <c r="I193" i="2"/>
  <c r="I198" i="2"/>
  <c r="I168" i="2"/>
  <c r="I189" i="2"/>
  <c r="I188" i="2"/>
  <c r="I187" i="2"/>
  <c r="I185" i="2"/>
  <c r="I190" i="2"/>
  <c r="I184" i="2"/>
  <c r="I183" i="2"/>
  <c r="I182" i="2"/>
  <c r="I181" i="2"/>
  <c r="I180" i="2"/>
  <c r="I179" i="2"/>
  <c r="I177" i="2"/>
  <c r="I178" i="2"/>
  <c r="I175" i="2"/>
  <c r="I174" i="2"/>
  <c r="I173" i="2"/>
  <c r="I172" i="2"/>
  <c r="I171" i="2"/>
  <c r="I176" i="2"/>
  <c r="I167" i="2"/>
  <c r="I166" i="2"/>
  <c r="I169" i="2"/>
  <c r="I164" i="2"/>
  <c r="I163" i="2"/>
  <c r="I165" i="2"/>
  <c r="I162" i="2"/>
  <c r="I161" i="2"/>
  <c r="I160" i="2"/>
  <c r="I159" i="2"/>
  <c r="I158" i="2"/>
  <c r="I660" i="2"/>
  <c r="I659" i="2"/>
  <c r="I658" i="2"/>
  <c r="I657" i="2"/>
  <c r="I656" i="2"/>
  <c r="I655" i="2"/>
  <c r="I638" i="2"/>
  <c r="I648" i="2"/>
  <c r="I647" i="2"/>
  <c r="I654" i="2"/>
  <c r="I653" i="2"/>
  <c r="I652" i="2"/>
  <c r="I650" i="2"/>
  <c r="I612" i="2"/>
  <c r="I649" i="2"/>
  <c r="I611" i="2"/>
  <c r="I637" i="2"/>
  <c r="I640" i="2"/>
  <c r="I645" i="2"/>
  <c r="I636" i="2"/>
  <c r="I646" i="2"/>
  <c r="I643" i="2"/>
  <c r="I642" i="2"/>
  <c r="I639" i="2"/>
  <c r="I644" i="2"/>
  <c r="I628" i="2"/>
  <c r="I635" i="2"/>
  <c r="I634" i="2"/>
  <c r="I633" i="2"/>
  <c r="I632" i="2"/>
  <c r="I631" i="2"/>
  <c r="I630" i="2"/>
  <c r="I641" i="2"/>
  <c r="I616" i="2"/>
  <c r="I626" i="2"/>
  <c r="I629" i="2"/>
  <c r="I615" i="2"/>
  <c r="I614" i="2"/>
  <c r="I613" i="2"/>
  <c r="I623" i="2"/>
  <c r="I627" i="2"/>
  <c r="I609" i="2"/>
  <c r="I608" i="2"/>
  <c r="I622" i="2"/>
  <c r="I607" i="2"/>
  <c r="I621" i="2"/>
  <c r="I625" i="2"/>
  <c r="I624" i="2"/>
  <c r="I620" i="2"/>
  <c r="I619" i="2"/>
  <c r="I618" i="2"/>
  <c r="I603" i="2"/>
  <c r="I617" i="2"/>
  <c r="I610" i="2"/>
  <c r="I605" i="2"/>
  <c r="I597" i="2"/>
  <c r="I602" i="2"/>
  <c r="I601" i="2"/>
  <c r="I604" i="2"/>
  <c r="I592" i="2"/>
  <c r="I606" i="2"/>
  <c r="I600" i="2"/>
  <c r="I599" i="2"/>
  <c r="I584" i="2"/>
  <c r="I582" i="2"/>
  <c r="I598" i="2"/>
  <c r="I596" i="2"/>
  <c r="I595" i="2"/>
  <c r="I591" i="2"/>
  <c r="I594" i="2"/>
  <c r="I593" i="2"/>
  <c r="I590" i="2"/>
  <c r="I588" i="2"/>
  <c r="I587" i="2"/>
  <c r="I586" i="2"/>
  <c r="I589" i="2"/>
  <c r="I583" i="2"/>
  <c r="I580" i="2"/>
  <c r="I579" i="2"/>
  <c r="I578" i="2"/>
  <c r="I581" i="2"/>
  <c r="I577" i="2"/>
  <c r="I576" i="2"/>
  <c r="I575" i="2"/>
  <c r="I573" i="2"/>
  <c r="I574" i="2"/>
  <c r="I572" i="2"/>
  <c r="I571" i="2"/>
  <c r="I570" i="2"/>
  <c r="I569" i="2"/>
  <c r="I567" i="2"/>
  <c r="I568" i="2"/>
  <c r="I566" i="2"/>
  <c r="I565" i="2"/>
  <c r="I563" i="2"/>
  <c r="I562" i="2"/>
  <c r="I561" i="2"/>
  <c r="I564" i="2"/>
  <c r="I560" i="2"/>
  <c r="I559" i="2"/>
  <c r="I558" i="2"/>
  <c r="I556" i="2"/>
  <c r="I555" i="2"/>
  <c r="I557" i="2"/>
  <c r="I554" i="2"/>
  <c r="I553" i="2"/>
  <c r="I552" i="2"/>
  <c r="I551" i="2"/>
  <c r="I550" i="2"/>
  <c r="I549" i="2"/>
</calcChain>
</file>

<file path=xl/sharedStrings.xml><?xml version="1.0" encoding="utf-8"?>
<sst xmlns="http://schemas.openxmlformats.org/spreadsheetml/2006/main" count="2335" uniqueCount="754">
  <si>
    <t>Michael Kors Junie Flap Medium Backpack Optic WhiteGold</t>
  </si>
  <si>
    <t>Michael Kors Sloan Medium Top-Handle Satche BlackGold</t>
  </si>
  <si>
    <t>Burberry Burberry Nova Check Belt, 1.5W Black L</t>
  </si>
  <si>
    <t>Michael Kors Studio Collection Mercer Mediu Light Quartz</t>
  </si>
  <si>
    <t>Michael Kors Kelsey Large Diaper Bag Black</t>
  </si>
  <si>
    <t>DKNY Bryant Medium Zip Tote Egg NogGold</t>
  </si>
  <si>
    <t>STANDARD CONTINENTAL</t>
  </si>
  <si>
    <t>Kipling Kipling Camama Extra-Large Dia Cloud Grey MetallicSilver</t>
  </si>
  <si>
    <t>Lauren Ralph Lauren Dryden Debby Drawstring Rose SmokePorcini</t>
  </si>
  <si>
    <t>Calvin Klein Novelty Clutch Cork Pale Gold</t>
  </si>
  <si>
    <t>TROOPER-NS CROSSBODY BLACK</t>
  </si>
  <si>
    <t>DOUBLE PACK</t>
  </si>
  <si>
    <t>Michael Kors Ava Mini Crossbody Black</t>
  </si>
  <si>
    <t>MINI DOUBLE PACK</t>
  </si>
  <si>
    <t>COACH Medium Zip Around Wallet with SilverChalk</t>
  </si>
  <si>
    <t>DRAFT - Radley London Pocket B Port</t>
  </si>
  <si>
    <t>Lauren Ralph Lauren Debby II Mini Drawstring Bag VanillaPorcini</t>
  </si>
  <si>
    <t>Lauren Ralph Lauren Striped Debby II Mini Drawstri BlackVanilla Stripe</t>
  </si>
  <si>
    <t>Calvin Klein Dressy Nylon Backpack Khaki MultiGold</t>
  </si>
  <si>
    <t>COACH Selena Gomez Nolita Wristlet 1 Light GoldSelena Red</t>
  </si>
  <si>
    <t>The Sak Alameda Small Satchel Cabernet</t>
  </si>
  <si>
    <t>Patricia Nash Sarzana Wallet TurquoiseSilver</t>
  </si>
  <si>
    <t>Kipling Art S Medium Tote Black</t>
  </si>
  <si>
    <t>Fossil Fiona Medium Crossbody BlackWhiteGold</t>
  </si>
  <si>
    <t>COACH Courier Crossbody in Crossgrai HeatherNickel</t>
  </si>
  <si>
    <t>Calvin Klein Large Tote BlackGold</t>
  </si>
  <si>
    <t>DRAFT - BARBARA- LG ZIP ARND Fog</t>
  </si>
  <si>
    <t>Dooney Bourke Nylon Crossbody Pink</t>
  </si>
  <si>
    <t>Patricia Nash Studded Hardware Colli Wallet BlackSilver</t>
  </si>
  <si>
    <t>Tommy Hilfiger Tommy Hilfiger Tommy Tote NavySilver</t>
  </si>
  <si>
    <t>Lauren Ralph Lauren Millbrook Flap Continental Wal TanOrange</t>
  </si>
  <si>
    <t>Steve Madden Ali Seasonal Large Tote MultiGold</t>
  </si>
  <si>
    <t>Dooney Bourke Ginger Pouchette Olive</t>
  </si>
  <si>
    <t>Radley London On the Dot Small Backpack Petrol</t>
  </si>
  <si>
    <t>DOUBLE J MATELASSE SLGS-</t>
  </si>
  <si>
    <t>Calvin Klein Small Crossbody Navy</t>
  </si>
  <si>
    <t>GUESS Joslyn Medium Satchel WhiteGold</t>
  </si>
  <si>
    <t>Betsey Johnson Velvet Medium Backpack Pink</t>
  </si>
  <si>
    <t>Steve Madden Crushed Velvet Phoenix Medium Olive</t>
  </si>
  <si>
    <t>Steve Madden Crushed Velvet Phoenix Medium Wine</t>
  </si>
  <si>
    <t>INC International Concepts Saraa Mini Box Clutch Green Multi</t>
  </si>
  <si>
    <t>Michael Kors Mercer Large Flat Multi Functi Olive</t>
  </si>
  <si>
    <t>Michael Kors Kelsey Medium Top-Zip Tote BlackUltra Pink</t>
  </si>
  <si>
    <t>Betsey Johnson Betsey Johnson Off The Hook Ph Fuchsia</t>
  </si>
  <si>
    <t>TOP ZIP MULTI WALLET</t>
  </si>
  <si>
    <t>Vera Bradley Trimmed Vera Small Tote Charcoal</t>
  </si>
  <si>
    <t>INC International Concepts Evie Lace Clutch WhiteSilver</t>
  </si>
  <si>
    <t>Betsey Johnson Betsey Johnson Velvet Small Ba Black</t>
  </si>
  <si>
    <t>Steve Madden Calli Faux-Fur Medium Backpack Fuchsia</t>
  </si>
  <si>
    <t>Steve Madden Eva Patent Push Lock Mini Cros MultiBlack</t>
  </si>
  <si>
    <t>Steve Madden Velvet Jasmine Ombre Medium C Magenta</t>
  </si>
  <si>
    <t>The Sak Indio Crochet Demi Bag BlackSilver</t>
  </si>
  <si>
    <t>The Sak Classic Medium Tote Crochet VanSilver</t>
  </si>
  <si>
    <t>Vera Bradley RFID Grab Go Wristlet Cardinal Red</t>
  </si>
  <si>
    <t>Nine West Vissa Small Satchel Black Multi</t>
  </si>
  <si>
    <t>Vera Bradley RFID All-in-One Crossbody Heritage Leaf</t>
  </si>
  <si>
    <t>Circus by Sam Edelman Wayne Tassel Crossbody Black</t>
  </si>
  <si>
    <t>Vera Bradley RFID Turnlock Wallet Heritage Leaf</t>
  </si>
  <si>
    <t>Style Co Airyell Tote Navy</t>
  </si>
  <si>
    <t>Patricia Nash Maira iPhone 7 Plus Phone Case Riot Rust</t>
  </si>
  <si>
    <t>Michael Kors Pom Pom Sunflower</t>
  </si>
  <si>
    <t>Calvin Klein Saffiano Wristlet Burnt OrangeGold</t>
  </si>
  <si>
    <t>Calvin Klein Saffiano Leather Wristlet Black</t>
  </si>
  <si>
    <t>Calvin Klein Saffiano Wristlet Buffcream</t>
  </si>
  <si>
    <t>Steve Madden Studded Small Belt Bag Black SM</t>
  </si>
  <si>
    <t>S/M</t>
  </si>
  <si>
    <t>INC International Concepts Perforated-Band Floppy Hat Black ONE SIZE</t>
  </si>
  <si>
    <t>GUESS Jordyn Double Date Wallet Black</t>
  </si>
  <si>
    <t>INC International Concepts Embroidered Flower Floppy Hat Tan ONE SIZE</t>
  </si>
  <si>
    <t>Nine West Nancee Small Crossbody BlackBlackSilver</t>
  </si>
  <si>
    <t>INC International Concepts Packable Imitation-Pearl Cloch Black ONE SIZE</t>
  </si>
  <si>
    <t>INC International Concepts Faux-Suede Stitch Fedora Black ONE SIZE</t>
  </si>
  <si>
    <t>INC International Concepts Scallop Studded Interchangeabl Coral Studded</t>
  </si>
  <si>
    <t>INC International Concepts Whipstitch Interchangeable Str Silver Whipstitch</t>
  </si>
  <si>
    <t>INC International Concepts Packable Bolo Cord Cloche Black ONE SIZE</t>
  </si>
  <si>
    <t>INC International Concepts Crochet Packable Baseball Cap Black ONE SIZE</t>
  </si>
  <si>
    <t>INC International Concepts Solid Beret Black ONE SIZE</t>
  </si>
  <si>
    <t>Nine West Slim Wallet with Zipper Platino</t>
  </si>
  <si>
    <t>Radley London Royal Wedding Large Tote Natural</t>
  </si>
  <si>
    <t>M 17</t>
  </si>
  <si>
    <t>MARKET BAG</t>
  </si>
  <si>
    <t>BLACK</t>
  </si>
  <si>
    <t>NO SIZE</t>
  </si>
  <si>
    <t>Patricia Nash Pisticci Shoulder Bag SandGold</t>
  </si>
  <si>
    <t>BGEOVERFLW</t>
  </si>
  <si>
    <t>OSFA</t>
  </si>
  <si>
    <t>COACH Edie 31 Medium Shoulder Bag wi Light GoldBeechwood</t>
  </si>
  <si>
    <t>LT BEIGE</t>
  </si>
  <si>
    <t>Michael Kors Bristol Top Handle Medium Satc Optic WhiteSilver</t>
  </si>
  <si>
    <t>GRAY</t>
  </si>
  <si>
    <t>Michael Kors Nouveau Pineapple Crossbody SunflowerGold</t>
  </si>
  <si>
    <t>GOLD</t>
  </si>
  <si>
    <t>kate spade new york Surf 3D Van Small Crossbody MultiSilver</t>
  </si>
  <si>
    <t>DRAFT - DKNY Effie Small Zip S Taupe</t>
  </si>
  <si>
    <t>DARK BEIGE</t>
  </si>
  <si>
    <t>DKNY Tess Transform Medium Backpack BlackSilver</t>
  </si>
  <si>
    <t>SILVER</t>
  </si>
  <si>
    <t>Brahmin Thelma Extra-Large Tote Coconut</t>
  </si>
  <si>
    <t>NATURAL</t>
  </si>
  <si>
    <t>Michael Kors Selma Medium Satchel Soft PinkGold</t>
  </si>
  <si>
    <t>WHITE</t>
  </si>
  <si>
    <t>Michael Kors Mercer Metallic Medium Snap To Gold</t>
  </si>
  <si>
    <t>Michael Kors Mott Large Chain Swag Small Sh Pale BlueSilver</t>
  </si>
  <si>
    <t>BLUE</t>
  </si>
  <si>
    <t>Michael Kors Mercer Large Convertible Tote Luggage</t>
  </si>
  <si>
    <t>LT/PAS BWN</t>
  </si>
  <si>
    <t>Michael Kors Sloan Editor Large Shoulder Ba Rose PinkGold</t>
  </si>
  <si>
    <t>DARK PINK</t>
  </si>
  <si>
    <t>Lauren Ralph Lauren Millbrook Medium Backpack Lauren Tan</t>
  </si>
  <si>
    <t>BROWN</t>
  </si>
  <si>
    <t>Lauren Ralph Lauren Anstey Double Zip Satchel Eggshell</t>
  </si>
  <si>
    <t>DKNY Bessie Large Hobo BlackGold</t>
  </si>
  <si>
    <t>MINI GRIND</t>
  </si>
  <si>
    <t>PINK</t>
  </si>
  <si>
    <t>Calvin Klein Samira Pebble Small Backpack Smoke</t>
  </si>
  <si>
    <t>LT/PAS GRY</t>
  </si>
  <si>
    <t>Radley London Downs Large Multiway Satchel Ink</t>
  </si>
  <si>
    <t>DARK BLUE</t>
  </si>
  <si>
    <t>L 15</t>
  </si>
  <si>
    <t>Radley London Lambeth Mews Large Hobo Black Gold</t>
  </si>
  <si>
    <t>Michael Kors Mercer Medium Messenger Black</t>
  </si>
  <si>
    <t>Lauren Ralph Lauren Carrington Brigitte Tote BlackGold</t>
  </si>
  <si>
    <t>Michael Kors Griffin North South Medium Mes AcornGold</t>
  </si>
  <si>
    <t>BUCK</t>
  </si>
  <si>
    <t>Michael Kors Mercer Medium Messenger Soft PinkMulberry</t>
  </si>
  <si>
    <t>LT/PASPINK</t>
  </si>
  <si>
    <t>DKNY Alice Small Shoulder Bag BlackGold</t>
  </si>
  <si>
    <t>DKNY Paige Large Satchel IvoryGold</t>
  </si>
  <si>
    <t>DKNY Alice Small Shoulder Bag ClaySilver</t>
  </si>
  <si>
    <t>MED BROWN</t>
  </si>
  <si>
    <t>Calvin Klein Logan Small Satchel BlackGold</t>
  </si>
  <si>
    <t>Radley London Carey Street Medium Bucket Cro Black Gold</t>
  </si>
  <si>
    <t>M 15</t>
  </si>
  <si>
    <t>DKNY Bryant Pocket Small Crossbody Khaki LogoGold</t>
  </si>
  <si>
    <t>Patricia Nash Burnished Tooled Luzille Conve IndigoSilver</t>
  </si>
  <si>
    <t>NAVY</t>
  </si>
  <si>
    <t>Patricia Nash Burnished Tooled Luzille Conve PinkSilver</t>
  </si>
  <si>
    <t>Michael Kors Mercer Large Snap Pocket Cross Acorn</t>
  </si>
  <si>
    <t>LT/PAS PUR</t>
  </si>
  <si>
    <t>Michael Kors Jet Set Item Top Zip Tote AdmiralSilver</t>
  </si>
  <si>
    <t>DKNY Alice Medium Cinch Crossbody ClaySilver</t>
  </si>
  <si>
    <t>Radley London Lavender Gardens Patchwork Sma Clove</t>
  </si>
  <si>
    <t>KHAKI</t>
  </si>
  <si>
    <t>S 15</t>
  </si>
  <si>
    <t>Lauren Ralph Lauren Dryden Debby Mini Drawstring B Vanilla with Multi Lizard Flor</t>
  </si>
  <si>
    <t>Michael Kors Travel Wallet Pale BlueNickel</t>
  </si>
  <si>
    <t>MED PURPLE</t>
  </si>
  <si>
    <t>Michael Kors Ginny Medium Camera Bag Bright Red</t>
  </si>
  <si>
    <t>HONEY</t>
  </si>
  <si>
    <t>DKNY Tilly Circa Small Backpack Grey MelangeSilver</t>
  </si>
  <si>
    <t>Calvin Klein Small Evening Clutch MicaGold</t>
  </si>
  <si>
    <t>Calvin Klein Small Floral Clutch Floral WhiteSilver</t>
  </si>
  <si>
    <t>DKNY Bryant Large Tote Olivine</t>
  </si>
  <si>
    <t>GREEN</t>
  </si>
  <si>
    <t>COACH Small Printed Rexy Bag Charm Bright Pink</t>
  </si>
  <si>
    <t>MED PINK</t>
  </si>
  <si>
    <t>The Sak Los Feliz Leather Medium Tote Stone</t>
  </si>
  <si>
    <t>Michael Kors Jet Set Travel Continental Wal Ultra Pink</t>
  </si>
  <si>
    <t>PURPLE</t>
  </si>
  <si>
    <t>Calvin Klein Hayden Large Tote MarigoldGold</t>
  </si>
  <si>
    <t>BRGHT YELL</t>
  </si>
  <si>
    <t>Patricia Nash Granada Small Crossbody PinkSilver</t>
  </si>
  <si>
    <t>TRUE ITSKA N SOLID</t>
  </si>
  <si>
    <t>Calvin Klein Small Sequin Clutch BlackBlackGold</t>
  </si>
  <si>
    <t>Calvin Klein Small Clutch Floral WhiteSilver</t>
  </si>
  <si>
    <t>COACH NY Stories Skyline Messenger M Black</t>
  </si>
  <si>
    <t>MED GRAY</t>
  </si>
  <si>
    <t>The Sak Silverlake Small Hobo MintSilver</t>
  </si>
  <si>
    <t>LT/PAS GRN</t>
  </si>
  <si>
    <t>The Sak Silverlake Small Hobo StoneGold</t>
  </si>
  <si>
    <t>The Sak Palermo Tote California Multi</t>
  </si>
  <si>
    <t>Kipling Seoul Go Extra Large Backpack Surfer Pink</t>
  </si>
  <si>
    <t>BRGHT PINK</t>
  </si>
  <si>
    <t>OSFA REG</t>
  </si>
  <si>
    <t>Tommy Hilfiger Classic Woven Rugby Medium Bac GreyGold</t>
  </si>
  <si>
    <t>REDOVERFLW</t>
  </si>
  <si>
    <t>Michael Kors Jet Set Travel Wallet Ultra Pink</t>
  </si>
  <si>
    <t>Michael Kors Jet Set Travel Wallet Acorn</t>
  </si>
  <si>
    <t>Calvin Klein Quilted Nylon Demi Bag Black QuiltGold</t>
  </si>
  <si>
    <t>Kipling Seoul Go Large Backpack Bold PurpleSilver</t>
  </si>
  <si>
    <t>The Sak Indio Leather Demi Bucket Bag Stone Studs</t>
  </si>
  <si>
    <t>Giani Bernini Bucket Hobo Bag Dark TealIvorySilver</t>
  </si>
  <si>
    <t>DKNY Lara Small Carryall Wallet Stone</t>
  </si>
  <si>
    <t>Radley London Sunbury Lane Large Flapover Ma Petrol</t>
  </si>
  <si>
    <t>MED BLUE</t>
  </si>
  <si>
    <t>L 16</t>
  </si>
  <si>
    <t>Radley London Wren Street Large Zip-Around M Honey</t>
  </si>
  <si>
    <t>COACH Boxed Phone Clutch in Polished Dark Antqiue NickelLily</t>
  </si>
  <si>
    <t>Tommy Hilfiger Classic Tommy Floral Extra-Lar NaturalGold</t>
  </si>
  <si>
    <t>Lauren Ralph Lauren Bainbridge Medium Shopper Black</t>
  </si>
  <si>
    <t>Betsey Johnson Eyes Small Crossbody Bag Silver</t>
  </si>
  <si>
    <t>Steve Madden Bonds Splatter Paint Medium Fl Silver</t>
  </si>
  <si>
    <t>Steve Madden Pauline Mini Clutch LavenderSilver</t>
  </si>
  <si>
    <t>COACH Coin Case COACH Rexy Coin Case Dark Anti</t>
  </si>
  <si>
    <t>MED GREEN</t>
  </si>
  <si>
    <t>Kipling Queenie Small Backpack True Blue</t>
  </si>
  <si>
    <t>Kipling Queenie Small Backpack Black</t>
  </si>
  <si>
    <t>Giani Bernini Ostrich Hobo Wine</t>
  </si>
  <si>
    <t>INC International Concepts Faany Pyramid Stud Convertible VachettaGold</t>
  </si>
  <si>
    <t>INC International Concepts Quiin Quilt Stud Tote BlackGold</t>
  </si>
  <si>
    <t>Ideology Overnighter Extra-Large Duffle Black</t>
  </si>
  <si>
    <t>Kipling Axl Small Crossbody Sparkly Gold</t>
  </si>
  <si>
    <t>Lauren Ralph Lauren Carrington Compact Wallet Field Brown</t>
  </si>
  <si>
    <t>GUESS Jade Top Zip Small Crossbody SandGold</t>
  </si>
  <si>
    <t>Betsey Johnson Medium Tote Palm PrintGold</t>
  </si>
  <si>
    <t>MED ORANGE</t>
  </si>
  <si>
    <t>Steve Madden Phoebe Small Camera Crossbody CreamGold</t>
  </si>
  <si>
    <t>Steve Madden Jill Circle Hat Box Small Cros WhiteSilver</t>
  </si>
  <si>
    <t>Steve Madden Steve Madden Casey North South BlushGold</t>
  </si>
  <si>
    <t>The Sak Kendra Leather Crossbody Black</t>
  </si>
  <si>
    <t>Kipling Axl Small Crossbody True Blue</t>
  </si>
  <si>
    <t>Vera Bradley RFID All-in-One Crossbody Bahama Bay Teal</t>
  </si>
  <si>
    <t>Vera Bradley Travel Companions Black</t>
  </si>
  <si>
    <t>Michael Kors Peace Fur Pom Pom Charm Ultra Pink</t>
  </si>
  <si>
    <t>Betsey Johnson Betsey Johnson Snowgal Mini Cr White</t>
  </si>
  <si>
    <t>Betsey Johnson Lets Split Banana Kitsch Small Multi</t>
  </si>
  <si>
    <t>Betsey Johnson Sprinkles On Top Mini Crossbod MultiGold</t>
  </si>
  <si>
    <t>Steve Madden Scottie Crystal Mini Crossbody WhiteSilver</t>
  </si>
  <si>
    <t>Giani Bernini Signature Swagger Satchel BlackBlackSilver</t>
  </si>
  <si>
    <t>Nine West Addi Tote Bkmkb Mm</t>
  </si>
  <si>
    <t>CHARCOAL</t>
  </si>
  <si>
    <t>Nine West Cerelia Small Backpack CashmereMilkMushroomGold</t>
  </si>
  <si>
    <t>The Sak Lucia Crossbody SunlightSilver</t>
  </si>
  <si>
    <t>DARKYELLOW</t>
  </si>
  <si>
    <t>COACH Tea Rose Applique Loop Charm GoldChalk</t>
  </si>
  <si>
    <t>Michael Kors iPhone 7 Plus Tab Folio Case Bright Red</t>
  </si>
  <si>
    <t>The Sak Indio Crochet Large Hobo Eggshell StripeSilver</t>
  </si>
  <si>
    <t>The Sak Silverwood Shopper Tote Sand StripeSilver</t>
  </si>
  <si>
    <t>INC International Concepts Farahh Small Backpack Dove GreyGunmetal</t>
  </si>
  <si>
    <t>Nine West Caden Large Tote Heritage BlueSilver</t>
  </si>
  <si>
    <t>Nine West Caden Extra-Large Tote Tropical Palm Print Pink Multi</t>
  </si>
  <si>
    <t>Patricia Nash Heritage Multi Monte Viso Stra Cuban Tropical Black</t>
  </si>
  <si>
    <t>Kipling Fundamental Mini Backpack Aloha Grove Purple</t>
  </si>
  <si>
    <t>Kipling Fundamental Small Backpack Zesty Lines</t>
  </si>
  <si>
    <t>Vera Bradley Straw Extra-Large Beach Tote Woven Blue</t>
  </si>
  <si>
    <t>BEIGE</t>
  </si>
  <si>
    <t>Michael Kors Jet Set Flap Card Holder Vanilla</t>
  </si>
  <si>
    <t>Steve Madden Val Plaid Mini Backpack RedSilver</t>
  </si>
  <si>
    <t>RED</t>
  </si>
  <si>
    <t>Giani Bernini Coated Canvas Small Crossbody Postcard PrintSilver</t>
  </si>
  <si>
    <t>Giani Bernini Saffiano Mini Tote NavySilver</t>
  </si>
  <si>
    <t>The Sak Sanibel Charging Wristlet Black Onyx</t>
  </si>
  <si>
    <t>Giani Bernini Small Crossbody KhakiBrown</t>
  </si>
  <si>
    <t>kate spade new york Winking Girl iPhone 8 Case Multi</t>
  </si>
  <si>
    <t>INC International Concepts Quiin Quilt Stud Small Top Han Ginger SpiceGold</t>
  </si>
  <si>
    <t>DARKORANGE</t>
  </si>
  <si>
    <t>The Sak Amberly Crochet Medium Hobo Marina StripeBronze</t>
  </si>
  <si>
    <t>The Sak Amberly Small Backpack Neptune StripeSilver</t>
  </si>
  <si>
    <t>The Sak Amberly Crochet Medium Hobo Terra StripeBronze</t>
  </si>
  <si>
    <t>The Sak Amberly Crochet Medium Hobo BambooBronze</t>
  </si>
  <si>
    <t>The Sak Amberly Crochet Large Tote Terra StripeGold</t>
  </si>
  <si>
    <t>The Sak Amberly Crochet Large Tote Marina StripeGold</t>
  </si>
  <si>
    <t>Michael Kors Large Round Feather Pom Pom Ke True GreenGold</t>
  </si>
  <si>
    <t>DARK GREEN</t>
  </si>
  <si>
    <t>Michael Kors Cat Charm Gold</t>
  </si>
  <si>
    <t>Michael Kors Mercer Small Coin Purse Ultra PinkGold</t>
  </si>
  <si>
    <t>Steve Madden Velvet Valera Top-Handle Mini Black</t>
  </si>
  <si>
    <t>kate spade new york Shake Things Up iPhone 66S7 Rose Gold</t>
  </si>
  <si>
    <t>kate spade new york iPhone X Jeweled Bee My Honey BlackWhite</t>
  </si>
  <si>
    <t>GUESS Keaton Large Zip Around Poppy</t>
  </si>
  <si>
    <t>BRIGHT RED</t>
  </si>
  <si>
    <t>GUESS Katiana Large Zip Around Boxed Cognac</t>
  </si>
  <si>
    <t>TAUPE</t>
  </si>
  <si>
    <t>INC International Concepts Carolyn Clutch Rose Gold</t>
  </si>
  <si>
    <t>Michael Kors Large Fur Pom Pom Key Charm Mulberry</t>
  </si>
  <si>
    <t>Nine West Moxie Mini Crossbody BlackGold</t>
  </si>
  <si>
    <t>Nine West Levona Small Crossbody Vivid InkGold</t>
  </si>
  <si>
    <t>kate spade new york Rose Gold-Tone Tapestry iPhone Rose Gold</t>
  </si>
  <si>
    <t>kate spade new york Heart Stripe iPhone 8 Plus Cas Multi</t>
  </si>
  <si>
    <t>Kipling Handbag, Creativity XL Wristle Busy Blossoms</t>
  </si>
  <si>
    <t>COACH COACH Keith Haring Boombox Han Sky Blue</t>
  </si>
  <si>
    <t>kate spade new york Rose Gold-tone Tapestry iPhone Rose Gold</t>
  </si>
  <si>
    <t>kate spade new york Heart Stripe iPhone 8 Case Multi</t>
  </si>
  <si>
    <t>kate spade new york Glitter Snowflakes iPhone 8 Ca Clear Multi</t>
  </si>
  <si>
    <t>BRNOVERFLW</t>
  </si>
  <si>
    <t>Giani Bernini Handbag, Softy Indexer Wine</t>
  </si>
  <si>
    <t>Giani Bernini Handbag, Softy Indexer RedSilver</t>
  </si>
  <si>
    <t>Nine West Small Accessories Double Zip W BlackSilver</t>
  </si>
  <si>
    <t>Nine West Wallet Medium Red</t>
  </si>
  <si>
    <t>MEDIUM RED</t>
  </si>
  <si>
    <t>Kipling New Teddi Wallet Busy Blossoms</t>
  </si>
  <si>
    <t>Giani Bernini Saffiano Croc-Embossed Frame Black Croc</t>
  </si>
  <si>
    <t>COACH Boxed Ornamental Bag Charm COACH Boxed Heart Ornament Met</t>
  </si>
  <si>
    <t>Nine West y Bourbon</t>
  </si>
  <si>
    <t>LT/PAS ORG</t>
  </si>
  <si>
    <t>Style Co Vyniisha Multi Zip Crossbody Black</t>
  </si>
  <si>
    <t>Patricia Nash Tooled Righello Measuring Tape Turquoise</t>
  </si>
  <si>
    <t>TURQ/AQUA</t>
  </si>
  <si>
    <t>Vera Bradley Iconic Zip ID Case Cardinal Red</t>
  </si>
  <si>
    <t>MEDIUN RED</t>
  </si>
  <si>
    <t>SHINE LGE ZIPTOP TOTE</t>
  </si>
  <si>
    <t>L 17</t>
  </si>
  <si>
    <t>PATCHWORK MANHTN BP</t>
  </si>
  <si>
    <t>Michael Kors Blakely Large Tote BlackSilver</t>
  </si>
  <si>
    <t>THE EDITOR</t>
  </si>
  <si>
    <t>Michael Kors Lillie Top-Handle Flap Satchel OxbloodMaroonGold</t>
  </si>
  <si>
    <t>MATTE KITA BACKPACK</t>
  </si>
  <si>
    <t>Michael Kors Jade Medium Gusset Medium Clut BlackSilver</t>
  </si>
  <si>
    <t>kate spade new york Emerson Place Rita Small Cross Black</t>
  </si>
  <si>
    <t>COACH Large Crossbody Dufflette NavyNickel</t>
  </si>
  <si>
    <t>Brahmin Brahmin Emerson Rose Gold Prov Rose Gold</t>
  </si>
  <si>
    <t>Michael Kors Cynthia Small Dressy Satchel Soft PinkGold</t>
  </si>
  <si>
    <t>Michael Kors Medium Chain Shoulder Tote Brown</t>
  </si>
  <si>
    <t>COACH Chain Prairie Satchel In Mixed Dark Antique NickelHeather Gr</t>
  </si>
  <si>
    <t>MINI BOHO GRIND</t>
  </si>
  <si>
    <t>Michael Kors Meredith East West Bonded Shou Pale BlueGold</t>
  </si>
  <si>
    <t>Michael Kors Remy Medium Shoulder Bag BlackGold</t>
  </si>
  <si>
    <t>Michael Kors Wythe Large Backpack Bright Red</t>
  </si>
  <si>
    <t>Michael Kors Mott Small Backpack Ultra PinkBlackGold</t>
  </si>
  <si>
    <t>Radley London Carey Street Large Bucket Hobo Black</t>
  </si>
  <si>
    <t>Michael Kors Raven Large Shoulder Bag Gold</t>
  </si>
  <si>
    <t>Radley London Greyfriars Gardens Zip-Top La Indus Tan Gold</t>
  </si>
  <si>
    <t>Brahmin Melbourne Anywhere Tote Ironwood</t>
  </si>
  <si>
    <t>Patricia Nash Distressed Leather Camila Cros Plum</t>
  </si>
  <si>
    <t>BRIGHT PUR</t>
  </si>
  <si>
    <t>Michael Kors Mercer Medium Bonded-Leather C Pale Gold</t>
  </si>
  <si>
    <t>LT/PAS YEL</t>
  </si>
  <si>
    <t>Michael Kors Mercer Medium Bonded-Leather C Ultra Pink</t>
  </si>
  <si>
    <t>Michael Kors MICHAEL Michael Kors Bristol M Black</t>
  </si>
  <si>
    <t>Michael Kors Studio Collection Mercer Mediu Pale BlueSilver</t>
  </si>
  <si>
    <t>Calvin Klein Embossed Saffiano Medium Cro Gold Black</t>
  </si>
  <si>
    <t>DKNY Bryant Large Shopper Tote Brown LogoGold</t>
  </si>
  <si>
    <t>Michael Kors Extra Small Crossbody BlackSilver</t>
  </si>
  <si>
    <t>Michael Kors Michael Kors Medium Tote BlackGold</t>
  </si>
  <si>
    <t>Michael Kors Malibu Medium Messenger NaturalPalm</t>
  </si>
  <si>
    <t>COACH Nolita Wristlet with Prairie R Light GoldChalk</t>
  </si>
  <si>
    <t>MEDIUM BACKPACK</t>
  </si>
  <si>
    <t>LT/PASBLUE</t>
  </si>
  <si>
    <t>Patricia Nash Spanish Villa Mondovi Medium C DenimGold</t>
  </si>
  <si>
    <t>Patricia Nash Katia Small Frame Clutch BlackSilver</t>
  </si>
  <si>
    <t>Patricia Nash Embroidery Beading Giulietta BlackSilver</t>
  </si>
  <si>
    <t>DKNY Sam Medium Tote OlivineGold</t>
  </si>
  <si>
    <t>Calvin Klein Wendy Leather Small Crossbody BlackGunmetal</t>
  </si>
  <si>
    <t>COACH Small Printed Mohawk Rexy Bag Chalk</t>
  </si>
  <si>
    <t>Calvin Klein Cork Small Clutch NaturalGold</t>
  </si>
  <si>
    <t>Tommy Hilfiger Julia Mini Dome Backpack Black</t>
  </si>
  <si>
    <t>Patricia Nash Woven Banyoles Small Crossbody SandGold</t>
  </si>
  <si>
    <t>kate spade new york Canvas Sam Small Satchel Peach Sherbet</t>
  </si>
  <si>
    <t>DKNY Bryant Large Tote Egg NogGold</t>
  </si>
  <si>
    <t>COACH Boxed Mini Crossbody Clutch wi SilverChalk Floral Bloom</t>
  </si>
  <si>
    <t>MINI BACKPACK</t>
  </si>
  <si>
    <t>The Sak Los Feliz Leather Medium Tote Nude Sparkle</t>
  </si>
  <si>
    <t>Calvin Klein Karsyn Studded Crossbody BlackWhiteSilver</t>
  </si>
  <si>
    <t>Radley London Willow Way Small Drawstring Cr Black Gold</t>
  </si>
  <si>
    <t>Radley London Willow Way Small Drawstring Cr Olive Gold</t>
  </si>
  <si>
    <t>Vince Camuto Doyle Small Crossbody Navy</t>
  </si>
  <si>
    <t>kate spade new york Hyde Lane Dipped Renee Mini Cr Black StripePink Sherbert</t>
  </si>
  <si>
    <t>The Sak Robertson Leather Small Hobo Black</t>
  </si>
  <si>
    <t>The Sak Alameda Small Satchel StoneGold</t>
  </si>
  <si>
    <t>Patricia Nash Verdura Bosque Baku Medium Clu MultiGold</t>
  </si>
  <si>
    <t>Dooney Bourke Continental Wallet Olive</t>
  </si>
  <si>
    <t>Michael Kors Pearlized Small Heart Box Clut Ultra Pink</t>
  </si>
  <si>
    <t>Calvin Klein Tote Burnt OrangeGold</t>
  </si>
  <si>
    <t>ORANGE</t>
  </si>
  <si>
    <t>COACH Double Zip Wallet in Polished Light GoldOxblood</t>
  </si>
  <si>
    <t>DARK RED</t>
  </si>
  <si>
    <t>COACH NY Stories Taxi Messenger Mini Brown</t>
  </si>
  <si>
    <t>Radley London Radley London Larkswood Quilt Cobweb</t>
  </si>
  <si>
    <t>Calvin Klein Mothers Day Leather Demi Medi Burnt OrangeGold</t>
  </si>
  <si>
    <t>ANTI METALLIC TWEED TOHDX</t>
  </si>
  <si>
    <t>RUSTCOPPER</t>
  </si>
  <si>
    <t>COACH Boxed Phone Crossbody SilverPeony</t>
  </si>
  <si>
    <t>COACH Boxed Phone Mini Crossbody wit SilverChalk Floral Bloom</t>
  </si>
  <si>
    <t>COACH Boxed Phone Crossbody SilverMarine</t>
  </si>
  <si>
    <t>Adrianna Papell Nisi Small Clutch SilverSilver</t>
  </si>
  <si>
    <t>Tommy Hilfiger TH Signature Striped Extra-Lar NavyGold</t>
  </si>
  <si>
    <t>Michael Kors Signature Jet Set Item East We BrownGold</t>
  </si>
  <si>
    <t>kate spade new york Jackson Street Malorie Wristle Willow</t>
  </si>
  <si>
    <t>DKNY Mey Small Crossbody BlackGold</t>
  </si>
  <si>
    <t>Giani Bernini Belted Top-Handle Small Crossb BlackSilver</t>
  </si>
  <si>
    <t>COACH Keith Haring Dancing Dog Bag C Crimson</t>
  </si>
  <si>
    <t>The Sak Sequoia Leather Hobo MintSilver</t>
  </si>
  <si>
    <t>Patricia Nash Lina Frame Small Shoulder Bag Black PatentSilver</t>
  </si>
  <si>
    <t>Kipling Halvar Small Crossbody Black</t>
  </si>
  <si>
    <t>Michael Kors Large Flat Multifunction Phone Gold</t>
  </si>
  <si>
    <t>GUESS Huntley Top Handle Flap Cognac Multi</t>
  </si>
  <si>
    <t>The Sak Alameda Leather Small Crossbod SunlightSilver</t>
  </si>
  <si>
    <t>Betsey Johnson Betsey Johnson Off The Hook Ph Multi</t>
  </si>
  <si>
    <t>Radley London Summer Street Large Zip-Around Cobweb</t>
  </si>
  <si>
    <t>Radley London Arlington Street Large Zip-Aro Coral</t>
  </si>
  <si>
    <t>Radley London Hatton Row Large Zip-Around Ma Black</t>
  </si>
  <si>
    <t>The Sak Kendra Leather Hobo Brown Snake</t>
  </si>
  <si>
    <t>Fossil Fossil Emma RFID Large Zip Clu Bright Multi</t>
  </si>
  <si>
    <t>STACY</t>
  </si>
  <si>
    <t>COACH Phone Wristlet in Polished Peb Metallic PinkNickel</t>
  </si>
  <si>
    <t>COACH Phone Wristlet in Polished Peb MarineSilver</t>
  </si>
  <si>
    <t>Patricia Nash Spanish Villa Teresa Wallet DenimGold</t>
  </si>
  <si>
    <t>DK/M CLRBLK PHN WRL</t>
  </si>
  <si>
    <t>Calvin Klein Saffiano Zip Around Wallet CashmereMetallic Truffle Bloc</t>
  </si>
  <si>
    <t>MED BEIGE</t>
  </si>
  <si>
    <t>Calvin Klein Key Items Pebble Leather Cross DahliaSilver</t>
  </si>
  <si>
    <t>Calvin Klein Chain Mini Crossbody Mango</t>
  </si>
  <si>
    <t>BRGHTORANG</t>
  </si>
  <si>
    <t>Steve Madden Aloha Small Pouch with Floral Black</t>
  </si>
  <si>
    <t>Steve Madden Bruby Floral Large Satchel Floral</t>
  </si>
  <si>
    <t>COACH Floral Bloom Strap SilverChalk Multi</t>
  </si>
  <si>
    <t>Michael Kors Folio iPhone 8 Plus Case Ultra Pink</t>
  </si>
  <si>
    <t>Kipling City Pack Small Backpack HoneydewSilver</t>
  </si>
  <si>
    <t>BRIGHT GRN</t>
  </si>
  <si>
    <t>INC International Concepts Quiin Triple-Compartment Mediu BlackGold</t>
  </si>
  <si>
    <t>Adrianna Papell Sandi Small Clutch Nude</t>
  </si>
  <si>
    <t>Lauren Ralph Lauren Bainbridge Tara Crossbody Khaki</t>
  </si>
  <si>
    <t>BEIGEKHAKI</t>
  </si>
  <si>
    <t>Lauren Ralph Lauren Bainbridge Tara Crossbody Black</t>
  </si>
  <si>
    <t>Betsey Johnson Off The Chain Small Backpack BlackSilver</t>
  </si>
  <si>
    <t>Betsey Johnson Betsey Johnson Thing Called Lo Pewter</t>
  </si>
  <si>
    <t>Betsey Johnson Betsey Johnson Thing Called Lo Black</t>
  </si>
  <si>
    <t>Steve Madden Jill Circle Hat Box Small Cros BlackSilver</t>
  </si>
  <si>
    <t>Steve Madden Steve Madden Lincoln Push Lock Black</t>
  </si>
  <si>
    <t>Steve Madden Glammin Embellished Small Pou Multi</t>
  </si>
  <si>
    <t>Giani Bernini Nappa Leather Crossbody WhiteSilver</t>
  </si>
  <si>
    <t>Giani Bernini Saffiano Tote RaspberrySilver</t>
  </si>
  <si>
    <t>LT/PAS RED</t>
  </si>
  <si>
    <t>Michael Kors Flap Card Holder Black</t>
  </si>
  <si>
    <t>DKNY Bryant Small Carryall Hemp LogoEgg NogGold</t>
  </si>
  <si>
    <t>RING LEADER</t>
  </si>
  <si>
    <t>Nine West Addi Tote Tobaccoplatino</t>
  </si>
  <si>
    <t>DARK BROWN</t>
  </si>
  <si>
    <t>COACH Cherry Star Silk Diamond Scarf MarineBlack</t>
  </si>
  <si>
    <t>BRIGHTBLUE</t>
  </si>
  <si>
    <t>COACH Boxed Love Leaf Small Wristlet Light GoldLove Leaf</t>
  </si>
  <si>
    <t>Fossil Emma RFID Smartphone Wristlet Pale Gold Metallic</t>
  </si>
  <si>
    <t>YELLOW</t>
  </si>
  <si>
    <t>Radley London You Are My Sunshine Medium Fla Coral</t>
  </si>
  <si>
    <t>The Sak Indio Crochet Large Hobo Woodland StripeSilver</t>
  </si>
  <si>
    <t>The Sak Silverwood Shopper Tote Eggshell StripeSilver</t>
  </si>
  <si>
    <t>Nine West Aveline Small Backpack Fiery RedSilver</t>
  </si>
  <si>
    <t>Nine West Maslina Medium Satchel Blackgold</t>
  </si>
  <si>
    <t>Patricia Nash Cassini Wristlet DenimGold</t>
  </si>
  <si>
    <t>Patricia Nash Chieti Agenda Signature Map</t>
  </si>
  <si>
    <t>Kipling Alber Mini Backpack Brick Red</t>
  </si>
  <si>
    <t>Kipling Sebastian Crossbody Bold Purple</t>
  </si>
  <si>
    <t>Patricia Nash Interchangeable Chain-Link Bel Black</t>
  </si>
  <si>
    <t>Tommy Hilfiger TH Serif Signature Star-Print NavyRed</t>
  </si>
  <si>
    <t>Michael Kors Lollipop Large Fur Pom Pom Key Irislildamson</t>
  </si>
  <si>
    <t>Michael Kors Penny Medium Travel Pouch Black</t>
  </si>
  <si>
    <t>GUESS Kamryn Small Crossbody Brown</t>
  </si>
  <si>
    <t>Nine West Ziah Extra-Large Tote White MultiBlack StripeGold</t>
  </si>
  <si>
    <t>Nine West Ziah Extra-Large Tote Navy Tropical Palm PrintGold</t>
  </si>
  <si>
    <t>The Sak Amberly Crochet Large Tote Bamboo MultiGold</t>
  </si>
  <si>
    <t>Michael Kors Receive a FREE Fur Pom Pom Key Natural</t>
  </si>
  <si>
    <t>Steve Madden Brocade Top-Handle Mini Crossb Blush</t>
  </si>
  <si>
    <t>GUESS Manhattan Large Zip Around Wal DenimSilver</t>
  </si>
  <si>
    <t>INC International Concepts Hazell Convertible Small Wrist FuschiaSilver</t>
  </si>
  <si>
    <t>Patricia Nash Spring Multi Alessandria iPhon Spring Multi</t>
  </si>
  <si>
    <t>Kipling El Dorado Small Shoulder Bag Very Berry</t>
  </si>
  <si>
    <t>Kipling Sabian Mini Crossbody Brightside Sky</t>
  </si>
  <si>
    <t>Kipling Sabian Mini Crossbody Silver Glimmer Metallic</t>
  </si>
  <si>
    <t>Calvin Klein Wristlet Smoky SilverSilver</t>
  </si>
  <si>
    <t>COACH Boxed Willow Floral Bag Charm SilverBeechwood</t>
  </si>
  <si>
    <t>COACH Keith Haring Heart Hangtag Ice Blue</t>
  </si>
  <si>
    <t>Fossil Emma Bifold Mini Wallet Red Velvet</t>
  </si>
  <si>
    <t>Fossil Emma RFID Mini Wallet Pale Gold Metallic</t>
  </si>
  <si>
    <t>Patricia Nash Provencal Escape Magliano Umbr Provencal Escape</t>
  </si>
  <si>
    <t>PINKOVERFL</t>
  </si>
  <si>
    <t>COACH Boxed Printed Heart Ornament Chalk</t>
  </si>
  <si>
    <t>COACH Boxed Printed Uni Ornament Chalk</t>
  </si>
  <si>
    <t>COACH Boxed Printed Bow Ornament Beechwood</t>
  </si>
  <si>
    <t>COACH Boxed Phone Pocket Sticker Black</t>
  </si>
  <si>
    <t>COACH Boxed Printed Rexy Ornament Beechwood</t>
  </si>
  <si>
    <t>COACH Boxed Ornamental Bag Charm COACH Boxed Uni Ornament Metal</t>
  </si>
  <si>
    <t>COACH Boxed Ornamental Bag Charm COACH Boxed Rexy Ornament Prim</t>
  </si>
  <si>
    <t>COACH Boxed Ornamental Bag Charm COACH Boxed Rexy Ornament Meta</t>
  </si>
  <si>
    <t>COACH Boxed Ornamental Bag Charm COACH Boxed Heart Ornament Pri</t>
  </si>
  <si>
    <t>COACH Boxed Ornamental Bag Charm COACH Boxed Star Ornament Meta</t>
  </si>
  <si>
    <t>INC International Concepts Embellished Interchangeable St Black Embellished</t>
  </si>
  <si>
    <t>Patricia Nash Rosetto Lipstick Case Sig Map</t>
  </si>
  <si>
    <t>INC International Concepts Striped Packable Panama Hat Tan ONE SIZE</t>
  </si>
  <si>
    <t>INC International Concepts Cotton Gingham Bow-Back Baseba Light Blue ONE SIZE</t>
  </si>
  <si>
    <t>Kipling Marguerite Coin Purse True Blue</t>
  </si>
  <si>
    <t>Kipling Sticky Note Multi Box Happy Friday</t>
  </si>
  <si>
    <t>Kipling Disneys Jungle Book Bagheer BagheeraSilver</t>
  </si>
  <si>
    <t>Michael Kors Bristol Small Satchel Tile BlueSilver</t>
  </si>
  <si>
    <t>Brahmin Melbourne Finley Carryall Chestnut</t>
  </si>
  <si>
    <t>DRAFT - COACH Parker Shoulder OlWashed Red</t>
  </si>
  <si>
    <t>Michael Kors Mercer Gallery Medium Tote WhiteSilver</t>
  </si>
  <si>
    <t>Radley London Summer Street Flapover Small S Cobweb Gold</t>
  </si>
  <si>
    <t>REGAN SATCHEL</t>
  </si>
  <si>
    <t>Patricia Nash Ticci Medium Shoulder Bag Red</t>
  </si>
  <si>
    <t>kate spade new york Thompson Street Sam Small Satc Blue</t>
  </si>
  <si>
    <t>Lauren Ralph Lauren Millbrook Medium Satchel VanillaGold</t>
  </si>
  <si>
    <t>COACH Dufflette Light GoldChalk</t>
  </si>
  <si>
    <t>Radley London Wren Street Zip-Top Medium Tot Cobweb Gold</t>
  </si>
  <si>
    <t>Radley London Rose Court Small Hobo InkGold</t>
  </si>
  <si>
    <t>Michael Kors Jet Set Item Extra-Large East AdmiralGold</t>
  </si>
  <si>
    <t>Michael Kors MICHAEL Michael Kors Sloan Tri Black</t>
  </si>
  <si>
    <t>MARO MD FLAP BACKPACK</t>
  </si>
  <si>
    <t>Michael Kors MICHAEL Michael Kors Signature VanillaAcornBright Red</t>
  </si>
  <si>
    <t>Michael Kors MICHAEL Michael Kors Signature BrownMulberryUltra Pink</t>
  </si>
  <si>
    <t>Patricia Nash Navelli Medium Tote BlackSilver</t>
  </si>
  <si>
    <t>Michael Kors Junie Extra-Large Tote Optic WhiteGold</t>
  </si>
  <si>
    <t>Michael Kors Mercer Medium Messenger Pale BlueWhiteAlum</t>
  </si>
  <si>
    <t>DKNY Elissa Medium Tote Brown Logo-BrownGold</t>
  </si>
  <si>
    <t>Dooney Bourke Patterson Small Crossbody Midnight Blue</t>
  </si>
  <si>
    <t>Calvin Klein Faye Small Messenger GoldGold</t>
  </si>
  <si>
    <t>DKNY DKNY Lara Double Zip Crossbody BlackGold</t>
  </si>
  <si>
    <t>Patricia Nash Provencal Escape Gracchi Small Verdura BosqueGold</t>
  </si>
  <si>
    <t>Michael Kors Jet Set East West Signature To OpticNavyGold</t>
  </si>
  <si>
    <t>Michael Kors Carter Medium Reversible Tote Blue</t>
  </si>
  <si>
    <t>Michael Kors Carter Medium Reversible Tote Black</t>
  </si>
  <si>
    <t>Michael Kors Voyager East West Signature To Admiral</t>
  </si>
  <si>
    <t>kate spade new york Cameron Street Clarise Crossbo Cement</t>
  </si>
  <si>
    <t>Calvin Klein Small Evening Clutch NaturalSilver</t>
  </si>
  <si>
    <t>Radley London Eden Row Small Flapover Small Cobweb</t>
  </si>
  <si>
    <t>Radley London Wren Street Small Crossbody Ba Honey</t>
  </si>
  <si>
    <t>Patricia Nash Provencal Beading Potenaz Smal BlackSilver</t>
  </si>
  <si>
    <t>Patricia Nash Provencal Beading Potenaz Smal TanGold</t>
  </si>
  <si>
    <t>Vince Camuto Linn Medium Tote BlackCappuccinoBlack</t>
  </si>
  <si>
    <t>Calvin Klein Small Leather Evening Clutch NaturalSilver</t>
  </si>
  <si>
    <t>Radley London Hatton Row Mini Flapover Cross Black</t>
  </si>
  <si>
    <t>XS 16</t>
  </si>
  <si>
    <t>Michael Kors Malibu Zip Wristlet NaturalUltra Pink</t>
  </si>
  <si>
    <t>DKNY Tilly Small Flap Crossbody CarnationGold</t>
  </si>
  <si>
    <t>Calvin Klein Brushed Metallic Small Clutch Gold Brushed Metallic</t>
  </si>
  <si>
    <t>Calvin Klein Josie Saffiano Mini Crossbody Deep BlushGold</t>
  </si>
  <si>
    <t>Lauren Ralph Lauren Newbury Kaelyn Mini Crossbody Black</t>
  </si>
  <si>
    <t>Fossil Kinley Small Crossbody BlackWhiteGold</t>
  </si>
  <si>
    <t>DRAFT - BARBARA- LG ZIP ARND Blush</t>
  </si>
  <si>
    <t>COACH Boxed Phone Mini Crossbody wit Light GoldBeechwood Floral Bl</t>
  </si>
  <si>
    <t>Kipling Pammie Tote Black</t>
  </si>
  <si>
    <t>Lauren Ralph Lauren Carrington Zip Wallet Field Brown</t>
  </si>
  <si>
    <t>DKNY Bryant Large Zip-Around Wallet Coral</t>
  </si>
  <si>
    <t>DKNY Bryant Large Zip-Around Wallet Fog</t>
  </si>
  <si>
    <t>Splendid Largo Extra-Large Debossed Che Cognac</t>
  </si>
  <si>
    <t>The Sak Ventura Leather Backpack CamelGold</t>
  </si>
  <si>
    <t>Patricia Nash Lina Small Frame Shoulder Bag Tangold</t>
  </si>
  <si>
    <t>Patricia Nash Lina Frame Small Shoulder Bag Black Haircalf</t>
  </si>
  <si>
    <t>Tommy Hilfiger Julia Triple Quilted Nylon Dom NavyGold</t>
  </si>
  <si>
    <t>The Sak Alameda Leather Small Crossbod MintSilver</t>
  </si>
  <si>
    <t>DKNY Bryant Large Zip-Around Wallet Khaki LogoEgg NogGold</t>
  </si>
  <si>
    <t>Radley London Summer Street Large Zip-Around Black</t>
  </si>
  <si>
    <t>Radley London Arlington Street Large Zip-Aro Bronze</t>
  </si>
  <si>
    <t>Steve Madden Emma Medium Satchel Black Pebble</t>
  </si>
  <si>
    <t>Steve Madden Porsha Car Paint Large Satchel Copper</t>
  </si>
  <si>
    <t>Steve Madden Bonds Splatter Paint Medium Fl Gold</t>
  </si>
  <si>
    <t>Radley London Carey Street Large Folded Mati Berry</t>
  </si>
  <si>
    <t>kate spade new york Hand Strap Stand iPhone X Cros BlackGold</t>
  </si>
  <si>
    <t>KNOX MINI BACK PACK</t>
  </si>
  <si>
    <t>Giani Bernini Ostrich-Embossed Tote BlushGold</t>
  </si>
  <si>
    <t>INC International Concepts Haili Bevel Medium Satchel Dove GreyGunmetal</t>
  </si>
  <si>
    <t>Kipling Angie Print Crossbody Lively Meadows</t>
  </si>
  <si>
    <t>Kipling Handbag, Alvar Crossbody Dizzy Darling Blue Multi</t>
  </si>
  <si>
    <t>Lauren Ralph Lauren Tara Small Crossbody Geo Print</t>
  </si>
  <si>
    <t>ASSORTED</t>
  </si>
  <si>
    <t>Lauren Ralph Lauren Compact Pebbled Leather Wallet BlackTruffle</t>
  </si>
  <si>
    <t>DKNY Bryant Medium Zip Pouch NavyGold</t>
  </si>
  <si>
    <t>Splendid Ashton Reversible Mini Tote Black</t>
  </si>
  <si>
    <t>Betsey Johnson Gimme Some Space Mini Crossbod Black</t>
  </si>
  <si>
    <t>Steve Madden Josie Small Backpack RedGold</t>
  </si>
  <si>
    <t>Steve Madden Beetle Velvet Small Pouch Blue</t>
  </si>
  <si>
    <t>FELIX STAR CROSSBODY BASIC</t>
  </si>
  <si>
    <t>Nine West Nine West Hazel Medium Satchel Fiery RedGold</t>
  </si>
  <si>
    <t>Giani Bernini Glazed Turn-Lock Small Crossbo BlackGold</t>
  </si>
  <si>
    <t>INC International Concepts Sparkle Clutch Multi</t>
  </si>
  <si>
    <t>Tommy Hilfiger Julia Star Plaid Mini Crossbod Navy</t>
  </si>
  <si>
    <t>Tommy Hilfiger Classic Woven Rugby Mini Cross RaspberryNaturalGold</t>
  </si>
  <si>
    <t>Vera Bradley Canvas Beach Extra-Large Tote Hacienda</t>
  </si>
  <si>
    <t>Steve Madden Evie Push-Lock Small Flap Bag BlackMatte Black</t>
  </si>
  <si>
    <t>COACH COACH Small Double Corner Zip Light GoldKhaki</t>
  </si>
  <si>
    <t>Radley London Wren Street Medium Purse Walle Chalk</t>
  </si>
  <si>
    <t>Radley London You Are My Sunshine Medium Fla Ink</t>
  </si>
  <si>
    <t>Fossil Emma Large Zip Clutch Wallet Floral MultiGold</t>
  </si>
  <si>
    <t>Patricia Nash Tooled Chieti Agenda Black Tuscan</t>
  </si>
  <si>
    <t>Kipling Yasemina Print Fanny Pack Brightside</t>
  </si>
  <si>
    <t>Vera Bradley Straw Extra-Large Beach Tote Woven Neutral</t>
  </si>
  <si>
    <t>Vera Bradley Straw Extra-Large Beach Tote Woven Coral</t>
  </si>
  <si>
    <t>Tommy Hilfiger Striped Pouch NavyWhiteGold</t>
  </si>
  <si>
    <t>Steve Madden Korey Crystal Small Clutch BlackSilver</t>
  </si>
  <si>
    <t>The Sak Classic Medium Tote Gypsy PeaceSilver</t>
  </si>
  <si>
    <t>Fossil Emma Tab Clutch Wallet Cabernet</t>
  </si>
  <si>
    <t>Nine West Aviana Small Satchel Daffodil YellowBrass</t>
  </si>
  <si>
    <t>Tommy Hilfiger Small Nylon Pouch FiestaSilver</t>
  </si>
  <si>
    <t>DKNY DKNY Bryant Card Case Coral</t>
  </si>
  <si>
    <t>Steve Madden Kathy Brocade Small Backpack Blue</t>
  </si>
  <si>
    <t>HARRISON STUDDED GS BASIC</t>
  </si>
  <si>
    <t>COACH Boxed Pocket Sticker with Flor Beechwood</t>
  </si>
  <si>
    <t>COACH Boxed Pocket Sticker with Flor Chalk</t>
  </si>
  <si>
    <t>COACH Boxed Phone Pocket Sticker Primrose</t>
  </si>
  <si>
    <t>Kipling Wallet, New Money Vibrant Pink</t>
  </si>
  <si>
    <t>COACH COACH Boxed Lip Ornament Metallic Brick</t>
  </si>
  <si>
    <t>Michael Kors Holiday Large Notebook RedGold Macys Exclusive</t>
  </si>
  <si>
    <t>Michael Kors Holiday Small Notebook RedGold Macys Exclusive</t>
  </si>
  <si>
    <t>BANCROFT LG TOTE- PYTHON</t>
  </si>
  <si>
    <t>SKORPIOS MARKET BAG</t>
  </si>
  <si>
    <t>BANCROFT LG SATCHEL</t>
  </si>
  <si>
    <t>BANCROFT LARGE TOTE</t>
  </si>
  <si>
    <t>MALDIVES LG FLAT TOTE</t>
  </si>
  <si>
    <t>MALDIVES DRAWSTRING</t>
  </si>
  <si>
    <t>RAFFIA XL MARKET BAG</t>
  </si>
  <si>
    <t>SKORPIOS TOP ZIP SHOULDR</t>
  </si>
  <si>
    <t>Michael Kors Signature Savannah Large Satch BrownAcornGold</t>
  </si>
  <si>
    <t>GLVTN DINKY XBOD</t>
  </si>
  <si>
    <t>COACH Dinky Crossbody in Glovetanned NickelHeather Grey</t>
  </si>
  <si>
    <t>Radley London In A Flutter Medium Grab Tote Sand</t>
  </si>
  <si>
    <t>CAMERON STREET SOPHIE</t>
  </si>
  <si>
    <t>Radley London Primrose Hill Medium Multi-Com Black Gold</t>
  </si>
  <si>
    <t>Fossil Small Shoulder Bag BrownGold</t>
  </si>
  <si>
    <t>COACH Bowery Mini Crossbody with Tea ChalkGold</t>
  </si>
  <si>
    <t>GLVTN LTH SOHO XBOD</t>
  </si>
  <si>
    <t>Michael Kors Mercer Medium Bonded-Leather C Bright RedSilver</t>
  </si>
  <si>
    <t>MARGAUX VELVET CLUTCH</t>
  </si>
  <si>
    <t>Michael Kors Ginny Medium Camera Bag Black</t>
  </si>
  <si>
    <t>Michael Kors Isla Large Satchel Admiral</t>
  </si>
  <si>
    <t>DKNY Karen Drawstring Small Crossbo Black</t>
  </si>
  <si>
    <t>LG DOME CROSSBODY</t>
  </si>
  <si>
    <t>Michael Kors Large Crossbody Clutch Bright Red</t>
  </si>
  <si>
    <t>DKNY Tilly Medium Backpack WhiteGold</t>
  </si>
  <si>
    <t>Vince Camuto Leila Small Tote Cognac</t>
  </si>
  <si>
    <t>Michael Kors Pearlized Small Heart Box Clut Soft Pink</t>
  </si>
  <si>
    <t>COACH Camo Messenger Mini Crossbody SilverBlush</t>
  </si>
  <si>
    <t>The Sak Indio Embossed Leather Bucket Tobacco Floral Emboss</t>
  </si>
  <si>
    <t>COCOA</t>
  </si>
  <si>
    <t>MARRAKECH POM POM GRANDEBASIC</t>
  </si>
  <si>
    <t>COACH Love Floral Oblong Scarf Marine</t>
  </si>
  <si>
    <t>Patricia Nash Ayora Small Crossbody NaturalGold</t>
  </si>
  <si>
    <t>Michael Kors Kelsey Large Top-Zip Tote Tile Blue Admiral</t>
  </si>
  <si>
    <t>Michael Kors Jet Set Travel Large Flat Mult Vanilla</t>
  </si>
  <si>
    <t>GUESS Marisole Uptown Large Satchel CognacGold</t>
  </si>
  <si>
    <t>GUESS Leeza Backpack Black</t>
  </si>
  <si>
    <t>Lauren Ralph Lauren Crocodile-Embossed Newbury Min Vermillion Faux Croc</t>
  </si>
  <si>
    <t>Radley London Sunbury Lane Large Flapover Ma Ink</t>
  </si>
  <si>
    <t>Calvin Klein Hayden Mercury Small Crossbody Persimmon</t>
  </si>
  <si>
    <t>Giani Bernini Ostrich-Embossed Tote Wine</t>
  </si>
  <si>
    <t>SUSPECT CROSSBODY</t>
  </si>
  <si>
    <t>Steve Madden Hawkin Quilted Extra-Large Wee PewterSilver</t>
  </si>
  <si>
    <t>Steve Madden Mary Small Crossbody WhiteSilver</t>
  </si>
  <si>
    <t>Steve Madden Embellished Girls Rock Small C Purple</t>
  </si>
  <si>
    <t>Steve Madden Steve Madden Casey North South BrownGold</t>
  </si>
  <si>
    <t>Tommy Hilfiger Large Nylon Pouch NavySilver</t>
  </si>
  <si>
    <t>Tommy Hilfiger Large Nylon Pouch RedSilver</t>
  </si>
  <si>
    <t>Radley London Shadow Medium Zip-Top Purse Wa Port</t>
  </si>
  <si>
    <t>Radley London Eden Row Medium Flapover Walle Rose Gold</t>
  </si>
  <si>
    <t>Fossil Emma Large Zip Clutch Wallet GreywhiteGold</t>
  </si>
  <si>
    <t>MED YELLOW</t>
  </si>
  <si>
    <t>Radley London Lifes A Party Medium Wallet Dark Red</t>
  </si>
  <si>
    <t>The Sak Sanibel Leather Mini Crossbody Petal Pink</t>
  </si>
  <si>
    <t>WINE</t>
  </si>
  <si>
    <t>Giani Bernini Saffiano Crossbody SilverSilver</t>
  </si>
  <si>
    <t>Nine West Trixie Large Tote BlueSilver</t>
  </si>
  <si>
    <t>Fossil Emma Tab Clutch Wallet Greywhite</t>
  </si>
  <si>
    <t>INC International Concepts Evie Clutch Gold</t>
  </si>
  <si>
    <t>The Sak Sanibel Flap Wallet Mauve Stud</t>
  </si>
  <si>
    <t>Patricia Nash Tooled Black Marotta Business Black</t>
  </si>
  <si>
    <t>kate spade new york Jeweled Daisy iPhone 8 Plus Ca Blue Daisy Iphone 8</t>
  </si>
  <si>
    <t>INC International Concepts Cotton Gingham Bow-Back Baseba Black ONE SIZE</t>
  </si>
  <si>
    <t>Kipling Marguerite Coin Purse Sapphire</t>
  </si>
  <si>
    <t>COACH Swagger 27 in Glovetanned Leat Dark Antique NickelBlack</t>
  </si>
  <si>
    <t>COACH Swagger 27 in Pebble Leather Matte BlackBlack</t>
  </si>
  <si>
    <t>COACH Page Crossbody In Glovetanned Light Antique NickelDusty Ros</t>
  </si>
  <si>
    <t>COACH Swagger 27 in Mixed Leather SilverLight Saddle</t>
  </si>
  <si>
    <t>COACH Swagger 27 in Pebble Leather Dark Antique NickelStone</t>
  </si>
  <si>
    <t>COACH Swagger 27 in Colorblock Leath Dark Antique NickelPale Blue</t>
  </si>
  <si>
    <t>COACH COACH Dinky Small Crossbody Black CopperBlack</t>
  </si>
  <si>
    <t>Michael Kors Cori Small Trunk Bag Black</t>
  </si>
  <si>
    <t>Michael Kors Savannah Medium Satchel Cinder</t>
  </si>
  <si>
    <t>Michael Kors Mercer Large Convertible Tote Bright Red</t>
  </si>
  <si>
    <t>Michael Kors Mercer Medium Center-Zip Tote Bright RedGold</t>
  </si>
  <si>
    <t>Michael Kors Cynthia Medium Convertible Sat Brown</t>
  </si>
  <si>
    <t>COACH Bowery Crossbody with Cross St Dark Antique NickelChalk Cros</t>
  </si>
  <si>
    <t>Michael Kors Voyager Medium Multifunction T Bright Red</t>
  </si>
  <si>
    <t>Radley London Fountain Road Medium Satchel Cobweb</t>
  </si>
  <si>
    <t>Patricia Nash Segovia Medium Tote Removabl BlackSilver</t>
  </si>
  <si>
    <t>Vince Camuto Felax Large Satchel Capuccino</t>
  </si>
  <si>
    <t>DKNY Samara Small Bucket Bag BlackGold</t>
  </si>
  <si>
    <t>Patricia Nash Studded Link Toscano Medium To Tan</t>
  </si>
  <si>
    <t>Patricia Nash Provencal Escape Gracchi Small Provencal EscapeGold</t>
  </si>
  <si>
    <t>DKNY Lara Top-Zip Small Crossbody BlackGold</t>
  </si>
  <si>
    <t>Michael Kors Large Dome Crossbody Black</t>
  </si>
  <si>
    <t>DKNY Small Top-Zip Crossbody BlackGold</t>
  </si>
  <si>
    <t>Patricia Nash Vitellia Flap Crossbody TanGold</t>
  </si>
  <si>
    <t>DKNY Tilly Medium Tote Yellowblack</t>
  </si>
  <si>
    <t>COACH Medium Zip Around Wallet with Dark Antique NickelHeather Gr</t>
  </si>
  <si>
    <t>DKNY DKNY Bryant Signature Triple Z Brown Logo-WalnutGold</t>
  </si>
  <si>
    <t>Patricia Nash Granada Small Crossbody TanGold</t>
  </si>
  <si>
    <t>MET LTR DBL ZIP WALL</t>
  </si>
  <si>
    <t>The Sak Indio Leather Large Satchel Sunlight Espadrille</t>
  </si>
  <si>
    <t>The Sak Palermo Tote Stone</t>
  </si>
  <si>
    <t>COACH Keith Haring Heart Bag Charm Bright Pink</t>
  </si>
  <si>
    <t>Kipling Shopper Large Tote Indigo Blue ComboSilver</t>
  </si>
  <si>
    <t>Steve Madden Velvet Pleated Medium Hobo Black</t>
  </si>
  <si>
    <t>The Sak Alameda Leather Small Crossbod StoneGOld</t>
  </si>
  <si>
    <t>The Sak Alameda Leather Small Crossbod Petal PinkSilver</t>
  </si>
  <si>
    <t>Vera Bradley Lighten Up Grand Medium Backpa Berry BurstSilver</t>
  </si>
  <si>
    <t>Steve Madden Ginger Medium Clutch with Flor Blue</t>
  </si>
  <si>
    <t>GUESS Digital Medium Hobo Black</t>
  </si>
  <si>
    <t>Calvin Klein Hayden Mercury Small Crossbody Intimate</t>
  </si>
  <si>
    <t>Betsey Johnson Large Straw Clutch NavyGold</t>
  </si>
  <si>
    <t>Betsey Johnson Small Skull Backpack Black</t>
  </si>
  <si>
    <t>Patricia Nash Interchangeable Knit Squares B Tan Multi</t>
  </si>
  <si>
    <t>Kipling Jude Crossbody New Bran Patent Combo</t>
  </si>
  <si>
    <t>Vera Bradley Triple Zip Hipster Charcoal</t>
  </si>
  <si>
    <t>DARK GRAY</t>
  </si>
  <si>
    <t>Steve Madden Coco Flapover Small Shoulder B WhiteSilver</t>
  </si>
  <si>
    <t>Steve Madden Lyla Small Backpack MultiGold</t>
  </si>
  <si>
    <t>INC International Concepts Lunaa Cio Pom Pom Straw Extra- Natural</t>
  </si>
  <si>
    <t>INC International Concepts Evie Embellished Mini Clutch Black</t>
  </si>
  <si>
    <t>INC International Concepts Hope Mesh Geo Small Clutch Black</t>
  </si>
  <si>
    <t>Steve Madden Lotus Mini Canteen with Bug Ap Green</t>
  </si>
  <si>
    <t>Steve Madden Aiden Embellished Mini Flapove Blush</t>
  </si>
  <si>
    <t>Steve Madden Velvet Jasmine Ombre Medium C Blue</t>
  </si>
  <si>
    <t>Radley London Heritage Dog Outline Medium Zi Cobweb</t>
  </si>
  <si>
    <t>Nine West Bettine Medium Tote MistLight Brass</t>
  </si>
  <si>
    <t>Nine West Dayne Medium Shoulder Bag Fiery RedSilver</t>
  </si>
  <si>
    <t>Patricia Nash Cassini Wristlet Prairie Rose</t>
  </si>
  <si>
    <t>Kipling Sebastian Crossbody Honeydew</t>
  </si>
  <si>
    <t>Vera Bradley Medium Beach Tote NaturalLight Natural Chevron</t>
  </si>
  <si>
    <t>Vera Bradley RFID Turnlock Wallet Cardinal Red</t>
  </si>
  <si>
    <t>Giani Bernini Saffiano Crossbody Light ChambraySilver</t>
  </si>
  <si>
    <t>The Sak Classic Medium Tote BambooSilver</t>
  </si>
  <si>
    <t>INC International Concepts Sabriina Medium Drawstring Cro Natural</t>
  </si>
  <si>
    <t>The Sak Iris RFID Flap Wallet Tobacco Floral Emboss</t>
  </si>
  <si>
    <t>Steve Madden Tinsley Mini Crossbody LavenderSilver</t>
  </si>
  <si>
    <t>Steve Madden Small Fanny Pack WhiteMatte Black</t>
  </si>
  <si>
    <t>Giani Bernini Pebble Leather Zipper Mini Fla Tomato</t>
  </si>
  <si>
    <t>Patricia Nash Metallic Tooled Vietta Samsung Gold</t>
  </si>
  <si>
    <t>Baggu Zip Backpack Black</t>
  </si>
  <si>
    <t>Michael Kors Large Fur Pom Pom Key Charm Dusty Blue</t>
  </si>
  <si>
    <t>Michael Kors Large Fur Pom Pom Key Charm Admiral</t>
  </si>
  <si>
    <t>kate spade new york Jeweled Shopper iPhone 8 Plus Multi Iphone 8</t>
  </si>
  <si>
    <t>COACH Keith Haring Dancing Dog Hangt Chalk</t>
  </si>
  <si>
    <t>INC International Concepts Beaded Floppy Hat Natural ONE SIZE</t>
  </si>
  <si>
    <t>INC International Concepts Gingham-Tie Floppy Hat Black ONE SIZE</t>
  </si>
  <si>
    <t>Nine West Nicolina Small Crossbody Mushroom</t>
  </si>
  <si>
    <t>Patricia Nash Magliano Umbrella Blue Forest</t>
  </si>
  <si>
    <t>LIGHTEN UP LUNCH COOLER</t>
  </si>
  <si>
    <t>Nine West Small Zip-Around Wallet Dark WheatMilkPlatino</t>
  </si>
  <si>
    <t>Nine West Small A Tech Wristlet BlackGold</t>
  </si>
  <si>
    <t>INC International Concepts Solid Floppy Hat Navy ONE SIZE</t>
  </si>
  <si>
    <t>INC International Concepts Solid Floppy Hat Blush ONE SIZE</t>
  </si>
  <si>
    <t>INC International Concepts Bow-Back Cotton Baseball Cap White ONE SIZE</t>
  </si>
  <si>
    <t>INC International Concepts Bow-Back Cotton Baseball Cap Blush ONE SIZE</t>
  </si>
  <si>
    <t>BLACK PATENT TOTE</t>
  </si>
  <si>
    <t>EMBROIDERED STRP BASIC</t>
  </si>
  <si>
    <t>Salvatore Ferragamo Salvatore Ferragamo Icona Leat Nero</t>
  </si>
  <si>
    <t>COACH Swagger 27 in Pebble Leather SilverMarine Multicolor</t>
  </si>
  <si>
    <t>Michael Kors Mott Large Flap Diaperbag Back AdmiralBlackGold</t>
  </si>
  <si>
    <t>Michael Kors Mott Large Flap Diaperbag Back BlackGold</t>
  </si>
  <si>
    <t>COACH TURNLOCK EDIE SHOULDER BAG IN Light SaddleSilver</t>
  </si>
  <si>
    <t>Dooney Bourke Large Barlow Tote Forest</t>
  </si>
  <si>
    <t>Michael Kors Hamilton Extra-Large Tote Black</t>
  </si>
  <si>
    <t>COACH Keith Haring Boombox Market To SilverIce Pink</t>
  </si>
  <si>
    <t>DKNY Lara Rounded Medium Crossbody Ivory</t>
  </si>
  <si>
    <t>Michael Kors Rhea Zip Medium Backpack Black</t>
  </si>
  <si>
    <t>Michael Kors Mercer Large Convertible Tote Optic WhitePearl GreyBlack</t>
  </si>
  <si>
    <t>Michael Kors Remy Medium Shoulder Bag AdmiralGold</t>
  </si>
  <si>
    <t>Michael Kors Jet Set Travel Chain Medium To BlackSilver</t>
  </si>
  <si>
    <t>Michael Kors MICHAEL Michael Kors Sloan Emb Blackgold</t>
  </si>
  <si>
    <t>Michael Kors Studio Mercer Medium Messenger Optic White</t>
  </si>
  <si>
    <t>EW TOTE</t>
  </si>
  <si>
    <t>PLT DBL SHLD DUFF BASIC</t>
  </si>
  <si>
    <t>PALM LE PL TUBE HNDL TOBASIC</t>
  </si>
  <si>
    <t>LE PL TUBE HNDL TOTE BASIC</t>
  </si>
  <si>
    <t>Vince Camuto Riley Leather Tote BlackGold</t>
  </si>
  <si>
    <t>Radley London Willow Way Drawstring Large To Cobweb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</si>
</sst>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2" applyNumberFormat="0" applyAlignment="0" applyProtection="0"/>
    <xf numFmtId="0" fontId="15" fillId="0" borderId="7" applyNumberFormat="0" applyFill="0" applyAlignment="0" applyProtection="0"/>
    <xf numFmtId="0" fontId="16" fillId="32" borderId="0" applyNumberFormat="0" applyBorder="0" applyAlignment="0" applyProtection="0"/>
    <xf numFmtId="0" fontId="2" fillId="33" borderId="8" applyNumberFormat="0" applyFont="0" applyAlignment="0" applyProtection="0"/>
    <xf numFmtId="0" fontId="17" fillId="2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1"/>
  <sheetViews>
    <sheetView tabSelected="1" workbookViewId="0">
      <pane ySplit="1" topLeftCell="A3" activePane="bottomLeft" state="frozen"/>
      <selection pane="bottomLeft" activeCell="F28" sqref="F28"/>
    </sheetView>
  </sheetViews>
  <sheetFormatPr defaultRowHeight="12.75" x14ac:dyDescent="0.2"/>
  <cols>
    <col min="1" max="1" width="10.85546875" style="2" bestFit="1" customWidth="1"/>
    <col min="2" max="2" width="14.140625" style="8" bestFit="1" customWidth="1"/>
    <col min="3" max="3" width="73" style="9" bestFit="1" customWidth="1"/>
    <col min="4" max="4" width="14.42578125" style="2" bestFit="1" customWidth="1"/>
    <col min="5" max="5" width="10.7109375" style="2" bestFit="1" customWidth="1"/>
    <col min="6" max="6" width="14.85546875" style="2" bestFit="1" customWidth="1"/>
    <col min="7" max="7" width="12.140625" style="2" bestFit="1" customWidth="1"/>
    <col min="8" max="8" width="16.28515625" style="2" bestFit="1" customWidth="1"/>
    <col min="9" max="9" width="49.28515625" style="2" bestFit="1" customWidth="1"/>
    <col min="10" max="16384" width="9.140625" style="2"/>
  </cols>
  <sheetData>
    <row r="1" spans="1:9" x14ac:dyDescent="0.2">
      <c r="A1" s="3">
        <v>11287223</v>
      </c>
      <c r="B1" s="3">
        <v>190417100094</v>
      </c>
      <c r="C1" s="5" t="s">
        <v>80</v>
      </c>
      <c r="D1" s="4" t="s">
        <v>81</v>
      </c>
      <c r="E1" s="6" t="s">
        <v>82</v>
      </c>
      <c r="F1" s="10">
        <v>1</v>
      </c>
      <c r="G1" s="7">
        <v>990</v>
      </c>
      <c r="H1" s="7">
        <v>990</v>
      </c>
      <c r="I1" s="1" t="str">
        <f>HYPERLINK("http://images.bloomingdales.com/is/image/BLM/9295684 ")</f>
        <v xml:space="preserve">http://images.bloomingdales.com/is/image/BLM/9295684 </v>
      </c>
    </row>
    <row r="2" spans="1:9" x14ac:dyDescent="0.2">
      <c r="A2" s="3">
        <v>11287223</v>
      </c>
      <c r="B2" s="3">
        <v>887986104522</v>
      </c>
      <c r="C2" s="5" t="s">
        <v>83</v>
      </c>
      <c r="D2" s="4" t="s">
        <v>84</v>
      </c>
      <c r="E2" s="6" t="s">
        <v>85</v>
      </c>
      <c r="F2" s="10">
        <v>1</v>
      </c>
      <c r="G2" s="7">
        <v>399</v>
      </c>
      <c r="H2" s="7">
        <v>399</v>
      </c>
      <c r="I2" s="1" t="str">
        <f>HYPERLINK("http://slimages.macys.com/is/image/MCY/9396124 ")</f>
        <v xml:space="preserve">http://slimages.macys.com/is/image/MCY/9396124 </v>
      </c>
    </row>
    <row r="3" spans="1:9" x14ac:dyDescent="0.2">
      <c r="A3" s="3">
        <v>11287223</v>
      </c>
      <c r="B3" s="3">
        <v>191202597761</v>
      </c>
      <c r="C3" s="5" t="s">
        <v>86</v>
      </c>
      <c r="D3" s="4" t="s">
        <v>87</v>
      </c>
      <c r="E3" s="6" t="s">
        <v>82</v>
      </c>
      <c r="F3" s="10">
        <v>1</v>
      </c>
      <c r="G3" s="7">
        <v>395</v>
      </c>
      <c r="H3" s="7">
        <v>395</v>
      </c>
      <c r="I3" s="1" t="str">
        <f>HYPERLINK("http://slimages.macys.com/is/image/MCY/9345463 ")</f>
        <v xml:space="preserve">http://slimages.macys.com/is/image/MCY/9345463 </v>
      </c>
    </row>
    <row r="4" spans="1:9" x14ac:dyDescent="0.2">
      <c r="A4" s="3">
        <v>11287223</v>
      </c>
      <c r="B4" s="3">
        <v>191935686046</v>
      </c>
      <c r="C4" s="5" t="s">
        <v>88</v>
      </c>
      <c r="D4" s="4" t="s">
        <v>89</v>
      </c>
      <c r="E4" s="6" t="s">
        <v>82</v>
      </c>
      <c r="F4" s="10">
        <v>1</v>
      </c>
      <c r="G4" s="7">
        <v>368</v>
      </c>
      <c r="H4" s="7">
        <v>368</v>
      </c>
      <c r="I4" s="1" t="str">
        <f>HYPERLINK("http://slimages.macys.com/is/image/MCY/9284001 ")</f>
        <v xml:space="preserve">http://slimages.macys.com/is/image/MCY/9284001 </v>
      </c>
    </row>
    <row r="5" spans="1:9" x14ac:dyDescent="0.2">
      <c r="A5" s="3">
        <v>11287223</v>
      </c>
      <c r="B5" s="3">
        <v>191935693006</v>
      </c>
      <c r="C5" s="5" t="s">
        <v>90</v>
      </c>
      <c r="D5" s="4" t="s">
        <v>91</v>
      </c>
      <c r="E5" s="6" t="s">
        <v>82</v>
      </c>
      <c r="F5" s="10">
        <v>2</v>
      </c>
      <c r="G5" s="7">
        <v>358</v>
      </c>
      <c r="H5" s="7">
        <v>716</v>
      </c>
      <c r="I5" s="1" t="str">
        <f>HYPERLINK("http://slimages.macys.com/is/image/MCY/9388732 ")</f>
        <v xml:space="preserve">http://slimages.macys.com/is/image/MCY/9388732 </v>
      </c>
    </row>
    <row r="6" spans="1:9" x14ac:dyDescent="0.2">
      <c r="A6" s="3">
        <v>11287223</v>
      </c>
      <c r="B6" s="3">
        <v>98687220842</v>
      </c>
      <c r="C6" s="5" t="s">
        <v>92</v>
      </c>
      <c r="D6" s="4"/>
      <c r="E6" s="6" t="s">
        <v>85</v>
      </c>
      <c r="F6" s="10">
        <v>1</v>
      </c>
      <c r="G6" s="7">
        <v>358</v>
      </c>
      <c r="H6" s="7">
        <v>358</v>
      </c>
      <c r="I6" s="1" t="str">
        <f>HYPERLINK("http://slimages.macys.com/is/image/MCY/9527050 ")</f>
        <v xml:space="preserve">http://slimages.macys.com/is/image/MCY/9527050 </v>
      </c>
    </row>
    <row r="7" spans="1:9" x14ac:dyDescent="0.2">
      <c r="A7" s="3">
        <v>11287223</v>
      </c>
      <c r="B7" s="3">
        <v>802892707186</v>
      </c>
      <c r="C7" s="5" t="s">
        <v>93</v>
      </c>
      <c r="D7" s="4" t="s">
        <v>94</v>
      </c>
      <c r="E7" s="6" t="s">
        <v>85</v>
      </c>
      <c r="F7" s="10">
        <v>1</v>
      </c>
      <c r="G7" s="7">
        <v>348</v>
      </c>
      <c r="H7" s="7">
        <v>348</v>
      </c>
      <c r="I7" s="1"/>
    </row>
    <row r="8" spans="1:9" x14ac:dyDescent="0.2">
      <c r="A8" s="3">
        <v>11287223</v>
      </c>
      <c r="B8" s="3">
        <v>802892701542</v>
      </c>
      <c r="C8" s="5" t="s">
        <v>95</v>
      </c>
      <c r="D8" s="4" t="s">
        <v>96</v>
      </c>
      <c r="E8" s="6" t="s">
        <v>85</v>
      </c>
      <c r="F8" s="10">
        <v>1</v>
      </c>
      <c r="G8" s="7">
        <v>328</v>
      </c>
      <c r="H8" s="7">
        <v>328</v>
      </c>
      <c r="I8" s="1" t="str">
        <f>HYPERLINK("http://slimages.macys.com/is/image/MCY/9345840 ")</f>
        <v xml:space="preserve">http://slimages.macys.com/is/image/MCY/9345840 </v>
      </c>
    </row>
    <row r="9" spans="1:9" x14ac:dyDescent="0.2">
      <c r="A9" s="3">
        <v>11287223</v>
      </c>
      <c r="B9" s="3">
        <v>749034278626</v>
      </c>
      <c r="C9" s="5" t="s">
        <v>97</v>
      </c>
      <c r="D9" s="4" t="s">
        <v>98</v>
      </c>
      <c r="E9" s="6" t="s">
        <v>82</v>
      </c>
      <c r="F9" s="10">
        <v>1</v>
      </c>
      <c r="G9" s="7">
        <v>325</v>
      </c>
      <c r="H9" s="7">
        <v>325</v>
      </c>
      <c r="I9" s="1" t="str">
        <f>HYPERLINK("http://slimages.macys.com/is/image/MCY/8889146 ")</f>
        <v xml:space="preserve">http://slimages.macys.com/is/image/MCY/8889146 </v>
      </c>
    </row>
    <row r="10" spans="1:9" x14ac:dyDescent="0.2">
      <c r="A10" s="3">
        <v>11287223</v>
      </c>
      <c r="B10" s="3">
        <v>190864485362</v>
      </c>
      <c r="C10" s="5" t="s">
        <v>99</v>
      </c>
      <c r="D10" s="4" t="s">
        <v>100</v>
      </c>
      <c r="E10" s="6" t="s">
        <v>82</v>
      </c>
      <c r="F10" s="10">
        <v>2</v>
      </c>
      <c r="G10" s="7">
        <v>298</v>
      </c>
      <c r="H10" s="7">
        <v>596</v>
      </c>
      <c r="I10" s="1" t="str">
        <f>HYPERLINK("http://slimages.macys.com/is/image/MCY/8359294 ")</f>
        <v xml:space="preserve">http://slimages.macys.com/is/image/MCY/8359294 </v>
      </c>
    </row>
    <row r="11" spans="1:9" x14ac:dyDescent="0.2">
      <c r="A11" s="3">
        <v>11287223</v>
      </c>
      <c r="B11" s="3">
        <v>191935081193</v>
      </c>
      <c r="C11" s="5" t="s">
        <v>101</v>
      </c>
      <c r="D11" s="4" t="s">
        <v>91</v>
      </c>
      <c r="E11" s="6" t="s">
        <v>82</v>
      </c>
      <c r="F11" s="10">
        <v>1</v>
      </c>
      <c r="G11" s="7">
        <v>298</v>
      </c>
      <c r="H11" s="7">
        <v>298</v>
      </c>
      <c r="I11" s="1" t="str">
        <f>HYPERLINK("http://slimages.macys.com/is/image/MCY/9098595 ")</f>
        <v xml:space="preserve">http://slimages.macys.com/is/image/MCY/9098595 </v>
      </c>
    </row>
    <row r="12" spans="1:9" x14ac:dyDescent="0.2">
      <c r="A12" s="3">
        <v>11287223</v>
      </c>
      <c r="B12" s="3">
        <v>191935684097</v>
      </c>
      <c r="C12" s="5" t="s">
        <v>102</v>
      </c>
      <c r="D12" s="4" t="s">
        <v>103</v>
      </c>
      <c r="E12" s="6" t="s">
        <v>82</v>
      </c>
      <c r="F12" s="10">
        <v>1</v>
      </c>
      <c r="G12" s="7">
        <v>298</v>
      </c>
      <c r="H12" s="7">
        <v>298</v>
      </c>
      <c r="I12" s="1" t="str">
        <f>HYPERLINK("http://slimages.macys.com/is/image/MCY/9295575 ")</f>
        <v xml:space="preserve">http://slimages.macys.com/is/image/MCY/9295575 </v>
      </c>
    </row>
    <row r="13" spans="1:9" x14ac:dyDescent="0.2">
      <c r="A13" s="3">
        <v>11287223</v>
      </c>
      <c r="B13" s="3">
        <v>190049683286</v>
      </c>
      <c r="C13" s="5" t="s">
        <v>104</v>
      </c>
      <c r="D13" s="4" t="s">
        <v>105</v>
      </c>
      <c r="E13" s="6" t="s">
        <v>82</v>
      </c>
      <c r="F13" s="10">
        <v>1</v>
      </c>
      <c r="G13" s="7">
        <v>298</v>
      </c>
      <c r="H13" s="7">
        <v>298</v>
      </c>
      <c r="I13" s="1" t="str">
        <f>HYPERLINK("http://slimages.macys.com/is/image/MCY/8358680 ")</f>
        <v xml:space="preserve">http://slimages.macys.com/is/image/MCY/8358680 </v>
      </c>
    </row>
    <row r="14" spans="1:9" x14ac:dyDescent="0.2">
      <c r="A14" s="3">
        <v>11287223</v>
      </c>
      <c r="B14" s="3">
        <v>192317308891</v>
      </c>
      <c r="C14" s="5" t="s">
        <v>106</v>
      </c>
      <c r="D14" s="4" t="s">
        <v>107</v>
      </c>
      <c r="E14" s="6" t="s">
        <v>82</v>
      </c>
      <c r="F14" s="10">
        <v>1</v>
      </c>
      <c r="G14" s="7">
        <v>298</v>
      </c>
      <c r="H14" s="7">
        <v>298</v>
      </c>
      <c r="I14" s="1" t="str">
        <f>HYPERLINK("http://slimages.macys.com/is/image/MCY/10030741 ")</f>
        <v xml:space="preserve">http://slimages.macys.com/is/image/MCY/10030741 </v>
      </c>
    </row>
    <row r="15" spans="1:9" x14ac:dyDescent="0.2">
      <c r="A15" s="3">
        <v>11287223</v>
      </c>
      <c r="B15" s="3">
        <v>883820775545</v>
      </c>
      <c r="C15" s="5" t="s">
        <v>108</v>
      </c>
      <c r="D15" s="4" t="s">
        <v>109</v>
      </c>
      <c r="E15" s="6" t="s">
        <v>85</v>
      </c>
      <c r="F15" s="10">
        <v>1</v>
      </c>
      <c r="G15" s="7">
        <v>298</v>
      </c>
      <c r="H15" s="7">
        <v>298</v>
      </c>
      <c r="I15" s="1" t="str">
        <f>HYPERLINK("http://slimages.macys.com/is/image/MCY/9352328 ")</f>
        <v xml:space="preserve">http://slimages.macys.com/is/image/MCY/9352328 </v>
      </c>
    </row>
    <row r="16" spans="1:9" x14ac:dyDescent="0.2">
      <c r="A16" s="3">
        <v>11287223</v>
      </c>
      <c r="B16" s="3">
        <v>888188335370</v>
      </c>
      <c r="C16" s="5" t="s">
        <v>110</v>
      </c>
      <c r="D16" s="4" t="s">
        <v>98</v>
      </c>
      <c r="E16" s="6" t="s">
        <v>85</v>
      </c>
      <c r="F16" s="10">
        <v>1</v>
      </c>
      <c r="G16" s="7">
        <v>298</v>
      </c>
      <c r="H16" s="7">
        <v>298</v>
      </c>
      <c r="I16" s="1" t="str">
        <f>HYPERLINK("http://slimages.macys.com/is/image/MCY/8263169 ")</f>
        <v xml:space="preserve">http://slimages.macys.com/is/image/MCY/8263169 </v>
      </c>
    </row>
    <row r="17" spans="1:9" x14ac:dyDescent="0.2">
      <c r="A17" s="3">
        <v>11287223</v>
      </c>
      <c r="B17" s="3">
        <v>802892841859</v>
      </c>
      <c r="C17" s="5" t="s">
        <v>111</v>
      </c>
      <c r="D17" s="4" t="s">
        <v>81</v>
      </c>
      <c r="E17" s="6" t="s">
        <v>85</v>
      </c>
      <c r="F17" s="10">
        <v>1</v>
      </c>
      <c r="G17" s="7">
        <v>298</v>
      </c>
      <c r="H17" s="7">
        <v>298</v>
      </c>
      <c r="I17" s="1" t="str">
        <f>HYPERLINK("http://slimages.macys.com/is/image/MCY/9035286 ")</f>
        <v xml:space="preserve">http://slimages.macys.com/is/image/MCY/9035286 </v>
      </c>
    </row>
    <row r="18" spans="1:9" x14ac:dyDescent="0.2">
      <c r="A18" s="3">
        <v>11287223</v>
      </c>
      <c r="B18" s="3">
        <v>191267267456</v>
      </c>
      <c r="C18" s="5" t="s">
        <v>112</v>
      </c>
      <c r="D18" s="4" t="s">
        <v>113</v>
      </c>
      <c r="E18" s="6" t="s">
        <v>85</v>
      </c>
      <c r="F18" s="10">
        <v>1</v>
      </c>
      <c r="G18" s="7">
        <v>295</v>
      </c>
      <c r="H18" s="7">
        <v>295</v>
      </c>
      <c r="I18" s="1"/>
    </row>
    <row r="19" spans="1:9" x14ac:dyDescent="0.2">
      <c r="A19" s="3">
        <v>11287223</v>
      </c>
      <c r="B19" s="3">
        <v>190466233361</v>
      </c>
      <c r="C19" s="5" t="s">
        <v>114</v>
      </c>
      <c r="D19" s="4" t="s">
        <v>115</v>
      </c>
      <c r="E19" s="6" t="s">
        <v>85</v>
      </c>
      <c r="F19" s="10">
        <v>1</v>
      </c>
      <c r="G19" s="7">
        <v>288</v>
      </c>
      <c r="H19" s="7">
        <v>288</v>
      </c>
      <c r="I19" s="1" t="str">
        <f>HYPERLINK("http://slimages.macys.com/is/image/MCY/8750134 ")</f>
        <v xml:space="preserve">http://slimages.macys.com/is/image/MCY/8750134 </v>
      </c>
    </row>
    <row r="20" spans="1:9" x14ac:dyDescent="0.2">
      <c r="A20" s="3">
        <v>11287223</v>
      </c>
      <c r="B20" s="3">
        <v>5025546389889</v>
      </c>
      <c r="C20" s="5" t="s">
        <v>116</v>
      </c>
      <c r="D20" s="4" t="s">
        <v>117</v>
      </c>
      <c r="E20" s="6" t="s">
        <v>118</v>
      </c>
      <c r="F20" s="10">
        <v>1</v>
      </c>
      <c r="G20" s="7">
        <v>275</v>
      </c>
      <c r="H20" s="7">
        <v>275</v>
      </c>
      <c r="I20" s="1" t="str">
        <f>HYPERLINK("http://slimages.macys.com/is/image/MCY/9055807 ")</f>
        <v xml:space="preserve">http://slimages.macys.com/is/image/MCY/9055807 </v>
      </c>
    </row>
    <row r="21" spans="1:9" x14ac:dyDescent="0.2">
      <c r="A21" s="3">
        <v>11287223</v>
      </c>
      <c r="B21" s="3">
        <v>5025546384242</v>
      </c>
      <c r="C21" s="5" t="s">
        <v>119</v>
      </c>
      <c r="D21" s="4" t="s">
        <v>81</v>
      </c>
      <c r="E21" s="6" t="s">
        <v>118</v>
      </c>
      <c r="F21" s="10">
        <v>1</v>
      </c>
      <c r="G21" s="7">
        <v>275</v>
      </c>
      <c r="H21" s="7">
        <v>275</v>
      </c>
      <c r="I21" s="1" t="str">
        <f>HYPERLINK("http://slimages.macys.com/is/image/MCY/9287822 ")</f>
        <v xml:space="preserve">http://slimages.macys.com/is/image/MCY/9287822 </v>
      </c>
    </row>
    <row r="22" spans="1:9" x14ac:dyDescent="0.2">
      <c r="A22" s="3">
        <v>11287223</v>
      </c>
      <c r="B22" s="3">
        <v>191935074393</v>
      </c>
      <c r="C22" s="5" t="s">
        <v>120</v>
      </c>
      <c r="D22" s="4" t="s">
        <v>81</v>
      </c>
      <c r="E22" s="6" t="s">
        <v>82</v>
      </c>
      <c r="F22" s="10">
        <v>1</v>
      </c>
      <c r="G22" s="7">
        <v>258</v>
      </c>
      <c r="H22" s="7">
        <v>258</v>
      </c>
      <c r="I22" s="1" t="str">
        <f>HYPERLINK("http://slimages.macys.com/is/image/MCY/9150299 ")</f>
        <v xml:space="preserve">http://slimages.macys.com/is/image/MCY/9150299 </v>
      </c>
    </row>
    <row r="23" spans="1:9" x14ac:dyDescent="0.2">
      <c r="A23" s="3">
        <v>11287223</v>
      </c>
      <c r="B23" s="3">
        <v>888188289666</v>
      </c>
      <c r="C23" s="5" t="s">
        <v>121</v>
      </c>
      <c r="D23" s="4" t="s">
        <v>81</v>
      </c>
      <c r="E23" s="6" t="s">
        <v>85</v>
      </c>
      <c r="F23" s="10">
        <v>1</v>
      </c>
      <c r="G23" s="7">
        <v>258</v>
      </c>
      <c r="H23" s="7">
        <v>258</v>
      </c>
      <c r="I23" s="1" t="str">
        <f>HYPERLINK("http://slimages.macys.com/is/image/MCY/8871320 ")</f>
        <v xml:space="preserve">http://slimages.macys.com/is/image/MCY/8871320 </v>
      </c>
    </row>
    <row r="24" spans="1:9" x14ac:dyDescent="0.2">
      <c r="A24" s="3">
        <v>11287223</v>
      </c>
      <c r="B24" s="3">
        <v>192317311273</v>
      </c>
      <c r="C24" s="5" t="s">
        <v>122</v>
      </c>
      <c r="D24" s="4" t="s">
        <v>123</v>
      </c>
      <c r="E24" s="6" t="s">
        <v>82</v>
      </c>
      <c r="F24" s="10">
        <v>1</v>
      </c>
      <c r="G24" s="7">
        <v>248</v>
      </c>
      <c r="H24" s="7">
        <v>248</v>
      </c>
      <c r="I24" s="1" t="str">
        <f>HYPERLINK("http://slimages.macys.com/is/image/MCY/9758982 ")</f>
        <v xml:space="preserve">http://slimages.macys.com/is/image/MCY/9758982 </v>
      </c>
    </row>
    <row r="25" spans="1:9" x14ac:dyDescent="0.2">
      <c r="A25" s="3">
        <v>11287223</v>
      </c>
      <c r="B25" s="3">
        <v>191935074324</v>
      </c>
      <c r="C25" s="5" t="s">
        <v>124</v>
      </c>
      <c r="D25" s="4" t="s">
        <v>125</v>
      </c>
      <c r="E25" s="6" t="s">
        <v>82</v>
      </c>
      <c r="F25" s="10">
        <v>3</v>
      </c>
      <c r="G25" s="7">
        <v>248</v>
      </c>
      <c r="H25" s="7">
        <v>744</v>
      </c>
      <c r="I25" s="1" t="str">
        <f>HYPERLINK("http://slimages.macys.com/is/image/MCY/9149609 ")</f>
        <v xml:space="preserve">http://slimages.macys.com/is/image/MCY/9149609 </v>
      </c>
    </row>
    <row r="26" spans="1:9" x14ac:dyDescent="0.2">
      <c r="A26" s="3">
        <v>11287223</v>
      </c>
      <c r="B26" s="3">
        <v>802892576362</v>
      </c>
      <c r="C26" s="5" t="s">
        <v>126</v>
      </c>
      <c r="D26" s="4" t="s">
        <v>89</v>
      </c>
      <c r="E26" s="6" t="s">
        <v>85</v>
      </c>
      <c r="F26" s="10">
        <v>1</v>
      </c>
      <c r="G26" s="7">
        <v>248</v>
      </c>
      <c r="H26" s="7">
        <v>248</v>
      </c>
      <c r="I26" s="1" t="str">
        <f>HYPERLINK("http://slimages.macys.com/is/image/MCY/9656497 ")</f>
        <v xml:space="preserve">http://slimages.macys.com/is/image/MCY/9656497 </v>
      </c>
    </row>
    <row r="27" spans="1:9" x14ac:dyDescent="0.2">
      <c r="A27" s="3">
        <v>11287223</v>
      </c>
      <c r="B27" s="3">
        <v>802892719370</v>
      </c>
      <c r="C27" s="5" t="s">
        <v>127</v>
      </c>
      <c r="D27" s="4" t="s">
        <v>100</v>
      </c>
      <c r="E27" s="6" t="s">
        <v>85</v>
      </c>
      <c r="F27" s="10">
        <v>1</v>
      </c>
      <c r="G27" s="7">
        <v>248</v>
      </c>
      <c r="H27" s="7">
        <v>248</v>
      </c>
      <c r="I27" s="1" t="str">
        <f>HYPERLINK("http://slimages.macys.com/is/image/MCY/9345786 ")</f>
        <v xml:space="preserve">http://slimages.macys.com/is/image/MCY/9345786 </v>
      </c>
    </row>
    <row r="28" spans="1:9" x14ac:dyDescent="0.2">
      <c r="A28" s="3">
        <v>11287223</v>
      </c>
      <c r="B28" s="3">
        <v>802892571985</v>
      </c>
      <c r="C28" s="5" t="s">
        <v>128</v>
      </c>
      <c r="D28" s="4" t="s">
        <v>129</v>
      </c>
      <c r="E28" s="6" t="s">
        <v>85</v>
      </c>
      <c r="F28" s="10">
        <v>1</v>
      </c>
      <c r="G28" s="7">
        <v>248</v>
      </c>
      <c r="H28" s="7">
        <v>248</v>
      </c>
      <c r="I28" s="1" t="str">
        <f>HYPERLINK("http://slimages.macys.com/is/image/MCY/9721120 ")</f>
        <v xml:space="preserve">http://slimages.macys.com/is/image/MCY/9721120 </v>
      </c>
    </row>
    <row r="29" spans="1:9" x14ac:dyDescent="0.2">
      <c r="A29" s="3">
        <v>11287223</v>
      </c>
      <c r="B29" s="3">
        <v>191797582647</v>
      </c>
      <c r="C29" s="5" t="s">
        <v>130</v>
      </c>
      <c r="D29" s="4" t="s">
        <v>89</v>
      </c>
      <c r="E29" s="6" t="s">
        <v>85</v>
      </c>
      <c r="F29" s="10">
        <v>1</v>
      </c>
      <c r="G29" s="7">
        <v>228</v>
      </c>
      <c r="H29" s="7">
        <v>228</v>
      </c>
      <c r="I29" s="1" t="str">
        <f>HYPERLINK("http://slimages.macys.com/is/image/MCY/9357433 ")</f>
        <v xml:space="preserve">http://slimages.macys.com/is/image/MCY/9357433 </v>
      </c>
    </row>
    <row r="30" spans="1:9" x14ac:dyDescent="0.2">
      <c r="A30" s="3">
        <v>11287223</v>
      </c>
      <c r="B30" s="3">
        <v>5025546384594</v>
      </c>
      <c r="C30" s="5" t="s">
        <v>131</v>
      </c>
      <c r="D30" s="4" t="s">
        <v>81</v>
      </c>
      <c r="E30" s="6" t="s">
        <v>132</v>
      </c>
      <c r="F30" s="10">
        <v>1</v>
      </c>
      <c r="G30" s="7">
        <v>225</v>
      </c>
      <c r="H30" s="7">
        <v>225</v>
      </c>
      <c r="I30" s="1" t="str">
        <f>HYPERLINK("http://slimages.macys.com/is/image/MCY/9046582 ")</f>
        <v xml:space="preserve">http://slimages.macys.com/is/image/MCY/9046582 </v>
      </c>
    </row>
    <row r="31" spans="1:9" x14ac:dyDescent="0.2">
      <c r="A31" s="3">
        <v>11287223</v>
      </c>
      <c r="B31" s="3">
        <v>802892707988</v>
      </c>
      <c r="C31" s="5" t="s">
        <v>133</v>
      </c>
      <c r="D31" s="4" t="s">
        <v>87</v>
      </c>
      <c r="E31" s="6" t="s">
        <v>85</v>
      </c>
      <c r="F31" s="10">
        <v>1</v>
      </c>
      <c r="G31" s="7">
        <v>208</v>
      </c>
      <c r="H31" s="7">
        <v>208</v>
      </c>
      <c r="I31" s="1" t="str">
        <f>HYPERLINK("http://slimages.macys.com/is/image/MCY/9469835 ")</f>
        <v xml:space="preserve">http://slimages.macys.com/is/image/MCY/9469835 </v>
      </c>
    </row>
    <row r="32" spans="1:9" x14ac:dyDescent="0.2">
      <c r="A32" s="3">
        <v>11287223</v>
      </c>
      <c r="B32" s="3">
        <v>887986099842</v>
      </c>
      <c r="C32" s="5" t="s">
        <v>134</v>
      </c>
      <c r="D32" s="4" t="s">
        <v>135</v>
      </c>
      <c r="E32" s="6" t="s">
        <v>85</v>
      </c>
      <c r="F32" s="10">
        <v>1</v>
      </c>
      <c r="G32" s="7">
        <v>199</v>
      </c>
      <c r="H32" s="7">
        <v>199</v>
      </c>
      <c r="I32" s="1" t="str">
        <f>HYPERLINK("http://slimages.macys.com/is/image/MCY/9133086 ")</f>
        <v xml:space="preserve">http://slimages.macys.com/is/image/MCY/9133086 </v>
      </c>
    </row>
    <row r="33" spans="1:9" x14ac:dyDescent="0.2">
      <c r="A33" s="3">
        <v>11287223</v>
      </c>
      <c r="B33" s="3">
        <v>887986098920</v>
      </c>
      <c r="C33" s="5" t="s">
        <v>136</v>
      </c>
      <c r="D33" s="4" t="s">
        <v>113</v>
      </c>
      <c r="E33" s="6" t="s">
        <v>85</v>
      </c>
      <c r="F33" s="10">
        <v>1</v>
      </c>
      <c r="G33" s="7">
        <v>199</v>
      </c>
      <c r="H33" s="7">
        <v>199</v>
      </c>
      <c r="I33" s="1" t="str">
        <f>HYPERLINK("http://slimages.macys.com/is/image/MCY/9133086 ")</f>
        <v xml:space="preserve">http://slimages.macys.com/is/image/MCY/9133086 </v>
      </c>
    </row>
    <row r="34" spans="1:9" x14ac:dyDescent="0.2">
      <c r="A34" s="3">
        <v>11287223</v>
      </c>
      <c r="B34" s="3">
        <v>190049724743</v>
      </c>
      <c r="C34" s="5" t="s">
        <v>137</v>
      </c>
      <c r="D34" s="4" t="s">
        <v>138</v>
      </c>
      <c r="E34" s="6" t="s">
        <v>82</v>
      </c>
      <c r="F34" s="10">
        <v>1</v>
      </c>
      <c r="G34" s="7">
        <v>198</v>
      </c>
      <c r="H34" s="7">
        <v>198</v>
      </c>
      <c r="I34" s="1" t="str">
        <f>HYPERLINK("http://slimages.macys.com/is/image/MCY/8048432 ")</f>
        <v xml:space="preserve">http://slimages.macys.com/is/image/MCY/8048432 </v>
      </c>
    </row>
    <row r="35" spans="1:9" x14ac:dyDescent="0.2">
      <c r="A35" s="3">
        <v>11287223</v>
      </c>
      <c r="B35" s="3">
        <v>190864482507</v>
      </c>
      <c r="C35" s="5" t="s">
        <v>139</v>
      </c>
      <c r="D35" s="4" t="s">
        <v>135</v>
      </c>
      <c r="E35" s="6" t="s">
        <v>82</v>
      </c>
      <c r="F35" s="10">
        <v>1</v>
      </c>
      <c r="G35" s="7">
        <v>198</v>
      </c>
      <c r="H35" s="7">
        <v>198</v>
      </c>
      <c r="I35" s="1" t="str">
        <f>HYPERLINK("http://slimages.macys.com/is/image/MCY/9495551 ")</f>
        <v xml:space="preserve">http://slimages.macys.com/is/image/MCY/9495551 </v>
      </c>
    </row>
    <row r="36" spans="1:9" x14ac:dyDescent="0.2">
      <c r="A36" s="3">
        <v>11287223</v>
      </c>
      <c r="B36" s="3">
        <v>802892575310</v>
      </c>
      <c r="C36" s="5" t="s">
        <v>140</v>
      </c>
      <c r="D36" s="4" t="s">
        <v>129</v>
      </c>
      <c r="E36" s="6" t="s">
        <v>85</v>
      </c>
      <c r="F36" s="10">
        <v>1</v>
      </c>
      <c r="G36" s="7">
        <v>198</v>
      </c>
      <c r="H36" s="7">
        <v>198</v>
      </c>
      <c r="I36" s="1" t="str">
        <f>HYPERLINK("http://slimages.macys.com/is/image/MCY/9656524 ")</f>
        <v xml:space="preserve">http://slimages.macys.com/is/image/MCY/9656524 </v>
      </c>
    </row>
    <row r="37" spans="1:9" x14ac:dyDescent="0.2">
      <c r="A37" s="3">
        <v>11287223</v>
      </c>
      <c r="B37" s="3">
        <v>5025546365678</v>
      </c>
      <c r="C37" s="5" t="s">
        <v>141</v>
      </c>
      <c r="D37" s="4" t="s">
        <v>142</v>
      </c>
      <c r="E37" s="6" t="s">
        <v>143</v>
      </c>
      <c r="F37" s="10">
        <v>1</v>
      </c>
      <c r="G37" s="7">
        <v>195</v>
      </c>
      <c r="H37" s="7">
        <v>195</v>
      </c>
      <c r="I37" s="1" t="str">
        <f>HYPERLINK("http://slimages.macys.com/is/image/MCY/8759760 ")</f>
        <v xml:space="preserve">http://slimages.macys.com/is/image/MCY/8759760 </v>
      </c>
    </row>
    <row r="38" spans="1:9" x14ac:dyDescent="0.2">
      <c r="A38" s="3">
        <v>11287223</v>
      </c>
      <c r="B38" s="3">
        <v>883820939954</v>
      </c>
      <c r="C38" s="5" t="s">
        <v>144</v>
      </c>
      <c r="D38" s="4" t="s">
        <v>98</v>
      </c>
      <c r="E38" s="6" t="s">
        <v>85</v>
      </c>
      <c r="F38" s="10">
        <v>1</v>
      </c>
      <c r="G38" s="7">
        <v>188</v>
      </c>
      <c r="H38" s="7">
        <v>188</v>
      </c>
      <c r="I38" s="1" t="str">
        <f>HYPERLINK("http://slimages.macys.com/is/image/MCY/9455399 ")</f>
        <v xml:space="preserve">http://slimages.macys.com/is/image/MCY/9455399 </v>
      </c>
    </row>
    <row r="39" spans="1:9" x14ac:dyDescent="0.2">
      <c r="A39" s="3">
        <v>11287223</v>
      </c>
      <c r="B39" s="3">
        <v>191935103505</v>
      </c>
      <c r="C39" s="5" t="s">
        <v>145</v>
      </c>
      <c r="D39" s="4" t="s">
        <v>146</v>
      </c>
      <c r="E39" s="6" t="s">
        <v>82</v>
      </c>
      <c r="F39" s="10">
        <v>1</v>
      </c>
      <c r="G39" s="7">
        <v>178</v>
      </c>
      <c r="H39" s="7">
        <v>178</v>
      </c>
      <c r="I39" s="1" t="str">
        <f>HYPERLINK("http://slimages.macys.com/is/image/MCY/9119059 ")</f>
        <v xml:space="preserve">http://slimages.macys.com/is/image/MCY/9119059 </v>
      </c>
    </row>
    <row r="40" spans="1:9" x14ac:dyDescent="0.2">
      <c r="A40" s="3">
        <v>11287223</v>
      </c>
      <c r="B40" s="3">
        <v>191262369889</v>
      </c>
      <c r="C40" s="5" t="s">
        <v>147</v>
      </c>
      <c r="D40" s="4" t="s">
        <v>148</v>
      </c>
      <c r="E40" s="6" t="s">
        <v>82</v>
      </c>
      <c r="F40" s="10">
        <v>3</v>
      </c>
      <c r="G40" s="7">
        <v>178</v>
      </c>
      <c r="H40" s="7">
        <v>534</v>
      </c>
      <c r="I40" s="1" t="str">
        <f>HYPERLINK("http://slimages.macys.com/is/image/MCY/8718906 ")</f>
        <v xml:space="preserve">http://slimages.macys.com/is/image/MCY/8718906 </v>
      </c>
    </row>
    <row r="41" spans="1:9" x14ac:dyDescent="0.2">
      <c r="A41" s="3">
        <v>11287223</v>
      </c>
      <c r="B41" s="3">
        <v>802892499791</v>
      </c>
      <c r="C41" s="5" t="s">
        <v>149</v>
      </c>
      <c r="D41" s="4" t="s">
        <v>89</v>
      </c>
      <c r="E41" s="6" t="s">
        <v>85</v>
      </c>
      <c r="F41" s="10">
        <v>1</v>
      </c>
      <c r="G41" s="7">
        <v>178</v>
      </c>
      <c r="H41" s="7">
        <v>178</v>
      </c>
      <c r="I41" s="1" t="str">
        <f>HYPERLINK("http://slimages.macys.com/is/image/MCY/9789049 ")</f>
        <v xml:space="preserve">http://slimages.macys.com/is/image/MCY/9789049 </v>
      </c>
    </row>
    <row r="42" spans="1:9" x14ac:dyDescent="0.2">
      <c r="A42" s="3">
        <v>11287223</v>
      </c>
      <c r="B42" s="3">
        <v>191797497002</v>
      </c>
      <c r="C42" s="5" t="s">
        <v>150</v>
      </c>
      <c r="D42" s="4" t="s">
        <v>89</v>
      </c>
      <c r="E42" s="6" t="s">
        <v>85</v>
      </c>
      <c r="F42" s="10">
        <v>1</v>
      </c>
      <c r="G42" s="7">
        <v>178</v>
      </c>
      <c r="H42" s="7">
        <v>178</v>
      </c>
      <c r="I42" s="1" t="str">
        <f>HYPERLINK("http://slimages.macys.com/is/image/MCY/9388751 ")</f>
        <v xml:space="preserve">http://slimages.macys.com/is/image/MCY/9388751 </v>
      </c>
    </row>
    <row r="43" spans="1:9" x14ac:dyDescent="0.2">
      <c r="A43" s="3">
        <v>11287223</v>
      </c>
      <c r="B43" s="3">
        <v>191797498016</v>
      </c>
      <c r="C43" s="5" t="s">
        <v>151</v>
      </c>
      <c r="D43" s="4" t="s">
        <v>100</v>
      </c>
      <c r="E43" s="6" t="s">
        <v>85</v>
      </c>
      <c r="F43" s="10">
        <v>8</v>
      </c>
      <c r="G43" s="7">
        <v>178</v>
      </c>
      <c r="H43" s="7">
        <v>1424</v>
      </c>
      <c r="I43" s="1" t="str">
        <f>HYPERLINK("http://slimages.macys.com/is/image/MCY/9125585 ")</f>
        <v xml:space="preserve">http://slimages.macys.com/is/image/MCY/9125585 </v>
      </c>
    </row>
    <row r="44" spans="1:9" x14ac:dyDescent="0.2">
      <c r="A44" s="3">
        <v>11287223</v>
      </c>
      <c r="B44" s="3">
        <v>802892550737</v>
      </c>
      <c r="C44" s="5" t="s">
        <v>152</v>
      </c>
      <c r="D44" s="4" t="s">
        <v>153</v>
      </c>
      <c r="E44" s="6" t="s">
        <v>85</v>
      </c>
      <c r="F44" s="10">
        <v>1</v>
      </c>
      <c r="G44" s="7">
        <v>178</v>
      </c>
      <c r="H44" s="7">
        <v>178</v>
      </c>
      <c r="I44" s="1" t="str">
        <f>HYPERLINK("http://slimages.macys.com/is/image/MCY/9509656 ")</f>
        <v xml:space="preserve">http://slimages.macys.com/is/image/MCY/9509656 </v>
      </c>
    </row>
    <row r="45" spans="1:9" x14ac:dyDescent="0.2">
      <c r="A45" s="3">
        <v>11287223</v>
      </c>
      <c r="B45" s="3">
        <v>191202470606</v>
      </c>
      <c r="C45" s="5" t="s">
        <v>154</v>
      </c>
      <c r="D45" s="4" t="s">
        <v>155</v>
      </c>
      <c r="E45" s="6" t="s">
        <v>82</v>
      </c>
      <c r="F45" s="10">
        <v>1</v>
      </c>
      <c r="G45" s="7">
        <v>175</v>
      </c>
      <c r="H45" s="7">
        <v>175</v>
      </c>
      <c r="I45" s="1" t="str">
        <f>HYPERLINK("http://slimages.macys.com/is/image/MCY/9433490 ")</f>
        <v xml:space="preserve">http://slimages.macys.com/is/image/MCY/9433490 </v>
      </c>
    </row>
    <row r="46" spans="1:9" x14ac:dyDescent="0.2">
      <c r="A46" s="3">
        <v>11287223</v>
      </c>
      <c r="B46" s="3">
        <v>711640588413</v>
      </c>
      <c r="C46" s="5" t="s">
        <v>156</v>
      </c>
      <c r="D46" s="4" t="s">
        <v>98</v>
      </c>
      <c r="E46" s="6" t="s">
        <v>82</v>
      </c>
      <c r="F46" s="10">
        <v>1</v>
      </c>
      <c r="G46" s="7">
        <v>171.75</v>
      </c>
      <c r="H46" s="7">
        <v>171.75</v>
      </c>
      <c r="I46" s="1" t="str">
        <f>HYPERLINK("http://slimages.macys.com/is/image/MCY/9728664 ")</f>
        <v xml:space="preserve">http://slimages.macys.com/is/image/MCY/9728664 </v>
      </c>
    </row>
    <row r="47" spans="1:9" x14ac:dyDescent="0.2">
      <c r="A47" s="3">
        <v>11287223</v>
      </c>
      <c r="B47" s="3">
        <v>191935105608</v>
      </c>
      <c r="C47" s="5" t="s">
        <v>157</v>
      </c>
      <c r="D47" s="4" t="s">
        <v>158</v>
      </c>
      <c r="E47" s="6" t="s">
        <v>82</v>
      </c>
      <c r="F47" s="10">
        <v>1</v>
      </c>
      <c r="G47" s="7">
        <v>168</v>
      </c>
      <c r="H47" s="7">
        <v>168</v>
      </c>
      <c r="I47" s="1" t="str">
        <f>HYPERLINK("http://slimages.macys.com/is/image/MCY/10044568 ")</f>
        <v xml:space="preserve">http://slimages.macys.com/is/image/MCY/10044568 </v>
      </c>
    </row>
    <row r="48" spans="1:9" x14ac:dyDescent="0.2">
      <c r="A48" s="3">
        <v>11287223</v>
      </c>
      <c r="B48" s="3">
        <v>191797157302</v>
      </c>
      <c r="C48" s="5" t="s">
        <v>159</v>
      </c>
      <c r="D48" s="4" t="s">
        <v>160</v>
      </c>
      <c r="E48" s="6" t="s">
        <v>85</v>
      </c>
      <c r="F48" s="10">
        <v>1</v>
      </c>
      <c r="G48" s="7">
        <v>158</v>
      </c>
      <c r="H48" s="7">
        <v>158</v>
      </c>
      <c r="I48" s="1" t="str">
        <f>HYPERLINK("http://slimages.macys.com/is/image/MCY/9357073 ")</f>
        <v xml:space="preserve">http://slimages.macys.com/is/image/MCY/9357073 </v>
      </c>
    </row>
    <row r="49" spans="1:9" x14ac:dyDescent="0.2">
      <c r="A49" s="3">
        <v>11287223</v>
      </c>
      <c r="B49" s="3">
        <v>887986104744</v>
      </c>
      <c r="C49" s="5" t="s">
        <v>161</v>
      </c>
      <c r="D49" s="4" t="s">
        <v>113</v>
      </c>
      <c r="E49" s="6" t="s">
        <v>85</v>
      </c>
      <c r="F49" s="10">
        <v>1</v>
      </c>
      <c r="G49" s="7">
        <v>149</v>
      </c>
      <c r="H49" s="7">
        <v>149</v>
      </c>
      <c r="I49" s="1" t="str">
        <f>HYPERLINK("http://slimages.macys.com/is/image/MCY/9395705 ")</f>
        <v xml:space="preserve">http://slimages.macys.com/is/image/MCY/9395705 </v>
      </c>
    </row>
    <row r="50" spans="1:9" x14ac:dyDescent="0.2">
      <c r="A50" s="3">
        <v>11287223</v>
      </c>
      <c r="B50" s="3">
        <v>882256219883</v>
      </c>
      <c r="C50" s="5" t="s">
        <v>162</v>
      </c>
      <c r="D50" s="4" t="s">
        <v>135</v>
      </c>
      <c r="E50" s="6" t="s">
        <v>85</v>
      </c>
      <c r="F50" s="10">
        <v>1</v>
      </c>
      <c r="G50" s="7">
        <v>149</v>
      </c>
      <c r="H50" s="7">
        <v>149</v>
      </c>
      <c r="I50" s="1"/>
    </row>
    <row r="51" spans="1:9" x14ac:dyDescent="0.2">
      <c r="A51" s="3">
        <v>11287223</v>
      </c>
      <c r="B51" s="3">
        <v>885719111212</v>
      </c>
      <c r="C51" s="5" t="s">
        <v>163</v>
      </c>
      <c r="D51" s="4" t="s">
        <v>81</v>
      </c>
      <c r="E51" s="6" t="s">
        <v>85</v>
      </c>
      <c r="F51" s="10">
        <v>1</v>
      </c>
      <c r="G51" s="7">
        <v>148</v>
      </c>
      <c r="H51" s="7">
        <v>148</v>
      </c>
      <c r="I51" s="1" t="str">
        <f>HYPERLINK("http://slimages.macys.com/is/image/MCY/8951057 ")</f>
        <v xml:space="preserve">http://slimages.macys.com/is/image/MCY/8951057 </v>
      </c>
    </row>
    <row r="52" spans="1:9" x14ac:dyDescent="0.2">
      <c r="A52" s="3">
        <v>11287223</v>
      </c>
      <c r="B52" s="3">
        <v>191797500214</v>
      </c>
      <c r="C52" s="5" t="s">
        <v>164</v>
      </c>
      <c r="D52" s="4" t="s">
        <v>100</v>
      </c>
      <c r="E52" s="6" t="s">
        <v>85</v>
      </c>
      <c r="F52" s="10">
        <v>4</v>
      </c>
      <c r="G52" s="7">
        <v>148</v>
      </c>
      <c r="H52" s="7">
        <v>592</v>
      </c>
      <c r="I52" s="1" t="str">
        <f>HYPERLINK("http://slimages.macys.com/is/image/MCY/9126620 ")</f>
        <v xml:space="preserve">http://slimages.macys.com/is/image/MCY/9126620 </v>
      </c>
    </row>
    <row r="53" spans="1:9" x14ac:dyDescent="0.2">
      <c r="A53" s="3">
        <v>11287223</v>
      </c>
      <c r="B53" s="3">
        <v>191202668928</v>
      </c>
      <c r="C53" s="5" t="s">
        <v>165</v>
      </c>
      <c r="D53" s="4" t="s">
        <v>166</v>
      </c>
      <c r="E53" s="6" t="s">
        <v>82</v>
      </c>
      <c r="F53" s="10">
        <v>1</v>
      </c>
      <c r="G53" s="7">
        <v>145</v>
      </c>
      <c r="H53" s="7">
        <v>145</v>
      </c>
      <c r="I53" s="1" t="str">
        <f>HYPERLINK("http://slimages.macys.com/is/image/MCY/9460429 ")</f>
        <v xml:space="preserve">http://slimages.macys.com/is/image/MCY/9460429 </v>
      </c>
    </row>
    <row r="54" spans="1:9" x14ac:dyDescent="0.2">
      <c r="A54" s="3">
        <v>11287223</v>
      </c>
      <c r="B54" s="3">
        <v>711640595442</v>
      </c>
      <c r="C54" s="5" t="s">
        <v>167</v>
      </c>
      <c r="D54" s="4" t="s">
        <v>168</v>
      </c>
      <c r="E54" s="6" t="s">
        <v>82</v>
      </c>
      <c r="F54" s="10">
        <v>1</v>
      </c>
      <c r="G54" s="7">
        <v>134.25</v>
      </c>
      <c r="H54" s="7">
        <v>134.25</v>
      </c>
      <c r="I54" s="1" t="str">
        <f>HYPERLINK("http://slimages.macys.com/is/image/MCY/9745704 ")</f>
        <v xml:space="preserve">http://slimages.macys.com/is/image/MCY/9745704 </v>
      </c>
    </row>
    <row r="55" spans="1:9" x14ac:dyDescent="0.2">
      <c r="A55" s="3">
        <v>11287223</v>
      </c>
      <c r="B55" s="3">
        <v>711640584675</v>
      </c>
      <c r="C55" s="5" t="s">
        <v>169</v>
      </c>
      <c r="D55" s="4" t="s">
        <v>98</v>
      </c>
      <c r="E55" s="6" t="s">
        <v>82</v>
      </c>
      <c r="F55" s="10">
        <v>1</v>
      </c>
      <c r="G55" s="7">
        <v>134.25</v>
      </c>
      <c r="H55" s="7">
        <v>134.25</v>
      </c>
      <c r="I55" s="1" t="str">
        <f>HYPERLINK("http://slimages.macys.com/is/image/MCY/9745704 ")</f>
        <v xml:space="preserve">http://slimages.macys.com/is/image/MCY/9745704 </v>
      </c>
    </row>
    <row r="56" spans="1:9" x14ac:dyDescent="0.2">
      <c r="A56" s="3">
        <v>11287223</v>
      </c>
      <c r="B56" s="3">
        <v>711640588284</v>
      </c>
      <c r="C56" s="5" t="s">
        <v>170</v>
      </c>
      <c r="D56" s="4"/>
      <c r="E56" s="6" t="s">
        <v>82</v>
      </c>
      <c r="F56" s="10">
        <v>1</v>
      </c>
      <c r="G56" s="7">
        <v>134.25</v>
      </c>
      <c r="H56" s="7">
        <v>134.25</v>
      </c>
      <c r="I56" s="1" t="str">
        <f>HYPERLINK("http://slimages.macys.com/is/image/MCY/9382409 ")</f>
        <v xml:space="preserve">http://slimages.macys.com/is/image/MCY/9382409 </v>
      </c>
    </row>
    <row r="57" spans="1:9" x14ac:dyDescent="0.2">
      <c r="A57" s="3">
        <v>11287223</v>
      </c>
      <c r="B57" s="3">
        <v>882256361049</v>
      </c>
      <c r="C57" s="5" t="s">
        <v>171</v>
      </c>
      <c r="D57" s="4" t="s">
        <v>172</v>
      </c>
      <c r="E57" s="6" t="s">
        <v>173</v>
      </c>
      <c r="F57" s="10">
        <v>1</v>
      </c>
      <c r="G57" s="7">
        <v>134</v>
      </c>
      <c r="H57" s="7">
        <v>134</v>
      </c>
      <c r="I57" s="1" t="str">
        <f>HYPERLINK("http://slimages.macys.com/is/image/MCY/9749251 ")</f>
        <v xml:space="preserve">http://slimages.macys.com/is/image/MCY/9749251 </v>
      </c>
    </row>
    <row r="58" spans="1:9" x14ac:dyDescent="0.2">
      <c r="A58" s="3">
        <v>11287223</v>
      </c>
      <c r="B58" s="3">
        <v>715676019828</v>
      </c>
      <c r="C58" s="5" t="s">
        <v>174</v>
      </c>
      <c r="D58" s="4" t="s">
        <v>175</v>
      </c>
      <c r="E58" s="6" t="s">
        <v>85</v>
      </c>
      <c r="F58" s="10">
        <v>1</v>
      </c>
      <c r="G58" s="7">
        <v>128</v>
      </c>
      <c r="H58" s="7">
        <v>128</v>
      </c>
      <c r="I58" s="1" t="str">
        <f>HYPERLINK("http://slimages.macys.com/is/image/MCY/9430226 ")</f>
        <v xml:space="preserve">http://slimages.macys.com/is/image/MCY/9430226 </v>
      </c>
    </row>
    <row r="59" spans="1:9" x14ac:dyDescent="0.2">
      <c r="A59" s="3">
        <v>11287223</v>
      </c>
      <c r="B59" s="3">
        <v>191935085863</v>
      </c>
      <c r="C59" s="5" t="s">
        <v>176</v>
      </c>
      <c r="D59" s="4" t="s">
        <v>158</v>
      </c>
      <c r="E59" s="6" t="s">
        <v>82</v>
      </c>
      <c r="F59" s="10">
        <v>1</v>
      </c>
      <c r="G59" s="7">
        <v>128</v>
      </c>
      <c r="H59" s="7">
        <v>128</v>
      </c>
      <c r="I59" s="1" t="str">
        <f>HYPERLINK("http://slimages.macys.com/is/image/MCY/2825124 ")</f>
        <v xml:space="preserve">http://slimages.macys.com/is/image/MCY/2825124 </v>
      </c>
    </row>
    <row r="60" spans="1:9" x14ac:dyDescent="0.2">
      <c r="A60" s="3">
        <v>11287223</v>
      </c>
      <c r="B60" s="3">
        <v>190049149119</v>
      </c>
      <c r="C60" s="5" t="s">
        <v>177</v>
      </c>
      <c r="D60" s="4" t="s">
        <v>138</v>
      </c>
      <c r="E60" s="6" t="s">
        <v>82</v>
      </c>
      <c r="F60" s="10">
        <v>1</v>
      </c>
      <c r="G60" s="7">
        <v>128</v>
      </c>
      <c r="H60" s="7">
        <v>128</v>
      </c>
      <c r="I60" s="1" t="str">
        <f>HYPERLINK("http://slimages.macys.com/is/image/MCY/2825124 ")</f>
        <v xml:space="preserve">http://slimages.macys.com/is/image/MCY/2825124 </v>
      </c>
    </row>
    <row r="61" spans="1:9" x14ac:dyDescent="0.2">
      <c r="A61" s="3">
        <v>11287223</v>
      </c>
      <c r="B61" s="3">
        <v>889609242789</v>
      </c>
      <c r="C61" s="5" t="s">
        <v>178</v>
      </c>
      <c r="D61" s="4" t="s">
        <v>81</v>
      </c>
      <c r="E61" s="6" t="s">
        <v>85</v>
      </c>
      <c r="F61" s="10">
        <v>1</v>
      </c>
      <c r="G61" s="7">
        <v>118</v>
      </c>
      <c r="H61" s="7">
        <v>118</v>
      </c>
      <c r="I61" s="1" t="str">
        <f>HYPERLINK("http://slimages.macys.com/is/image/MCY/3673482 ")</f>
        <v xml:space="preserve">http://slimages.macys.com/is/image/MCY/3673482 </v>
      </c>
    </row>
    <row r="62" spans="1:9" x14ac:dyDescent="0.2">
      <c r="A62" s="3">
        <v>11287223</v>
      </c>
      <c r="B62" s="3">
        <v>882256360820</v>
      </c>
      <c r="C62" s="5" t="s">
        <v>179</v>
      </c>
      <c r="D62" s="4" t="s">
        <v>158</v>
      </c>
      <c r="E62" s="6" t="s">
        <v>173</v>
      </c>
      <c r="F62" s="10">
        <v>2</v>
      </c>
      <c r="G62" s="7">
        <v>114</v>
      </c>
      <c r="H62" s="7">
        <v>228</v>
      </c>
      <c r="I62" s="1" t="str">
        <f>HYPERLINK("http://slimages.macys.com/is/image/MCY/9745886 ")</f>
        <v xml:space="preserve">http://slimages.macys.com/is/image/MCY/9745886 </v>
      </c>
    </row>
    <row r="63" spans="1:9" x14ac:dyDescent="0.2">
      <c r="A63" s="3">
        <v>11287223</v>
      </c>
      <c r="B63" s="3">
        <v>711640587942</v>
      </c>
      <c r="C63" s="5" t="s">
        <v>180</v>
      </c>
      <c r="D63" s="4" t="s">
        <v>98</v>
      </c>
      <c r="E63" s="6" t="s">
        <v>82</v>
      </c>
      <c r="F63" s="10">
        <v>1</v>
      </c>
      <c r="G63" s="7">
        <v>111.75</v>
      </c>
      <c r="H63" s="7">
        <v>111.75</v>
      </c>
      <c r="I63" s="1" t="str">
        <f>HYPERLINK("http://slimages.macys.com/is/image/MCY/9242661 ")</f>
        <v xml:space="preserve">http://slimages.macys.com/is/image/MCY/9242661 </v>
      </c>
    </row>
    <row r="64" spans="1:9" x14ac:dyDescent="0.2">
      <c r="A64" s="3">
        <v>11287223</v>
      </c>
      <c r="B64" s="3">
        <v>747542242177</v>
      </c>
      <c r="C64" s="5" t="s">
        <v>181</v>
      </c>
      <c r="D64" s="4" t="s">
        <v>117</v>
      </c>
      <c r="E64" s="6" t="s">
        <v>85</v>
      </c>
      <c r="F64" s="10">
        <v>1</v>
      </c>
      <c r="G64" s="7">
        <v>110.08</v>
      </c>
      <c r="H64" s="7">
        <v>110.08</v>
      </c>
      <c r="I64" s="1" t="str">
        <f>HYPERLINK("http://slimages.macys.com/is/image/MCY/9801804 ")</f>
        <v xml:space="preserve">http://slimages.macys.com/is/image/MCY/9801804 </v>
      </c>
    </row>
    <row r="65" spans="1:9" x14ac:dyDescent="0.2">
      <c r="A65" s="3">
        <v>11287223</v>
      </c>
      <c r="B65" s="3">
        <v>802892985126</v>
      </c>
      <c r="C65" s="5" t="s">
        <v>182</v>
      </c>
      <c r="D65" s="4" t="s">
        <v>87</v>
      </c>
      <c r="E65" s="6" t="s">
        <v>85</v>
      </c>
      <c r="F65" s="10">
        <v>1</v>
      </c>
      <c r="G65" s="7">
        <v>108</v>
      </c>
      <c r="H65" s="7">
        <v>108</v>
      </c>
      <c r="I65" s="1" t="str">
        <f>HYPERLINK("http://slimages.macys.com/is/image/MCY/8863619 ")</f>
        <v xml:space="preserve">http://slimages.macys.com/is/image/MCY/8863619 </v>
      </c>
    </row>
    <row r="66" spans="1:9" x14ac:dyDescent="0.2">
      <c r="A66" s="3">
        <v>11287223</v>
      </c>
      <c r="B66" s="3">
        <v>5025546386987</v>
      </c>
      <c r="C66" s="5" t="s">
        <v>183</v>
      </c>
      <c r="D66" s="4" t="s">
        <v>184</v>
      </c>
      <c r="E66" s="6" t="s">
        <v>185</v>
      </c>
      <c r="F66" s="10">
        <v>1</v>
      </c>
      <c r="G66" s="7">
        <v>105</v>
      </c>
      <c r="H66" s="7">
        <v>105</v>
      </c>
      <c r="I66" s="1" t="str">
        <f>HYPERLINK("http://slimages.macys.com/is/image/MCY/9347241 ")</f>
        <v xml:space="preserve">http://slimages.macys.com/is/image/MCY/9347241 </v>
      </c>
    </row>
    <row r="67" spans="1:9" x14ac:dyDescent="0.2">
      <c r="A67" s="3">
        <v>11287223</v>
      </c>
      <c r="B67" s="3">
        <v>5025546386963</v>
      </c>
      <c r="C67" s="5" t="s">
        <v>186</v>
      </c>
      <c r="D67" s="4" t="s">
        <v>129</v>
      </c>
      <c r="E67" s="6" t="s">
        <v>185</v>
      </c>
      <c r="F67" s="10">
        <v>1</v>
      </c>
      <c r="G67" s="7">
        <v>105</v>
      </c>
      <c r="H67" s="7">
        <v>105</v>
      </c>
      <c r="I67" s="1" t="str">
        <f>HYPERLINK("http://slimages.macys.com/is/image/MCY/9288621 ")</f>
        <v xml:space="preserve">http://slimages.macys.com/is/image/MCY/9288621 </v>
      </c>
    </row>
    <row r="68" spans="1:9" x14ac:dyDescent="0.2">
      <c r="A68" s="3">
        <v>11287223</v>
      </c>
      <c r="B68" s="3">
        <v>191202219106</v>
      </c>
      <c r="C68" s="5" t="s">
        <v>187</v>
      </c>
      <c r="D68" s="4"/>
      <c r="E68" s="6" t="s">
        <v>82</v>
      </c>
      <c r="F68" s="10">
        <v>1</v>
      </c>
      <c r="G68" s="7">
        <v>99</v>
      </c>
      <c r="H68" s="7">
        <v>99</v>
      </c>
      <c r="I68" s="1" t="str">
        <f>HYPERLINK("http://slimages.macys.com/is/image/MCY/8949193 ")</f>
        <v xml:space="preserve">http://slimages.macys.com/is/image/MCY/8949193 </v>
      </c>
    </row>
    <row r="69" spans="1:9" x14ac:dyDescent="0.2">
      <c r="A69" s="3">
        <v>11287223</v>
      </c>
      <c r="B69" s="3">
        <v>715676137478</v>
      </c>
      <c r="C69" s="5" t="s">
        <v>188</v>
      </c>
      <c r="D69" s="4" t="s">
        <v>98</v>
      </c>
      <c r="E69" s="6" t="s">
        <v>85</v>
      </c>
      <c r="F69" s="10">
        <v>2</v>
      </c>
      <c r="G69" s="7">
        <v>98</v>
      </c>
      <c r="H69" s="7">
        <v>196</v>
      </c>
      <c r="I69" s="1" t="str">
        <f>HYPERLINK("http://slimages.macys.com/is/image/MCY/9487018 ")</f>
        <v xml:space="preserve">http://slimages.macys.com/is/image/MCY/9487018 </v>
      </c>
    </row>
    <row r="70" spans="1:9" x14ac:dyDescent="0.2">
      <c r="A70" s="3">
        <v>11287223</v>
      </c>
      <c r="B70" s="3">
        <v>888188205901</v>
      </c>
      <c r="C70" s="5" t="s">
        <v>189</v>
      </c>
      <c r="D70" s="4" t="s">
        <v>81</v>
      </c>
      <c r="E70" s="6" t="s">
        <v>85</v>
      </c>
      <c r="F70" s="10">
        <v>1</v>
      </c>
      <c r="G70" s="7">
        <v>98</v>
      </c>
      <c r="H70" s="7">
        <v>98</v>
      </c>
      <c r="I70" s="1" t="str">
        <f>HYPERLINK("http://slimages.macys.com/is/image/MCY/8589317 ")</f>
        <v xml:space="preserve">http://slimages.macys.com/is/image/MCY/8589317 </v>
      </c>
    </row>
    <row r="71" spans="1:9" x14ac:dyDescent="0.2">
      <c r="A71" s="3">
        <v>11287223</v>
      </c>
      <c r="B71" s="3">
        <v>889487297413</v>
      </c>
      <c r="C71" s="5" t="s">
        <v>190</v>
      </c>
      <c r="D71" s="4" t="s">
        <v>96</v>
      </c>
      <c r="E71" s="6" t="s">
        <v>85</v>
      </c>
      <c r="F71" s="10">
        <v>1</v>
      </c>
      <c r="G71" s="7">
        <v>98</v>
      </c>
      <c r="H71" s="7">
        <v>98</v>
      </c>
      <c r="I71" s="1" t="str">
        <f>HYPERLINK("http://slimages.macys.com/is/image/MCY/9051816 ")</f>
        <v xml:space="preserve">http://slimages.macys.com/is/image/MCY/9051816 </v>
      </c>
    </row>
    <row r="72" spans="1:9" x14ac:dyDescent="0.2">
      <c r="A72" s="3">
        <v>11287223</v>
      </c>
      <c r="B72" s="3">
        <v>889487296959</v>
      </c>
      <c r="C72" s="5" t="s">
        <v>191</v>
      </c>
      <c r="D72" s="4" t="s">
        <v>96</v>
      </c>
      <c r="E72" s="6" t="s">
        <v>85</v>
      </c>
      <c r="F72" s="10">
        <v>1</v>
      </c>
      <c r="G72" s="7">
        <v>98</v>
      </c>
      <c r="H72" s="7">
        <v>98</v>
      </c>
      <c r="I72" s="1" t="str">
        <f>HYPERLINK("http://slimages.macys.com/is/image/MCY/8869488 ")</f>
        <v xml:space="preserve">http://slimages.macys.com/is/image/MCY/8869488 </v>
      </c>
    </row>
    <row r="73" spans="1:9" x14ac:dyDescent="0.2">
      <c r="A73" s="3">
        <v>11287223</v>
      </c>
      <c r="B73" s="3">
        <v>889487348184</v>
      </c>
      <c r="C73" s="5" t="s">
        <v>192</v>
      </c>
      <c r="D73" s="4" t="s">
        <v>138</v>
      </c>
      <c r="E73" s="6" t="s">
        <v>85</v>
      </c>
      <c r="F73" s="10">
        <v>2</v>
      </c>
      <c r="G73" s="7">
        <v>98</v>
      </c>
      <c r="H73" s="7">
        <v>196</v>
      </c>
      <c r="I73" s="1" t="str">
        <f>HYPERLINK("http://slimages.macys.com/is/image/MCY/9330563 ")</f>
        <v xml:space="preserve">http://slimages.macys.com/is/image/MCY/9330563 </v>
      </c>
    </row>
    <row r="74" spans="1:9" x14ac:dyDescent="0.2">
      <c r="A74" s="3">
        <v>11287223</v>
      </c>
      <c r="B74" s="3">
        <v>191202217003</v>
      </c>
      <c r="C74" s="5" t="s">
        <v>193</v>
      </c>
      <c r="D74" s="4" t="s">
        <v>194</v>
      </c>
      <c r="E74" s="6" t="s">
        <v>82</v>
      </c>
      <c r="F74" s="10">
        <v>1</v>
      </c>
      <c r="G74" s="7">
        <v>95</v>
      </c>
      <c r="H74" s="7">
        <v>95</v>
      </c>
      <c r="I74" s="1" t="str">
        <f>HYPERLINK("http://slimages.macys.com/is/image/MCY/9018858 ")</f>
        <v xml:space="preserve">http://slimages.macys.com/is/image/MCY/9018858 </v>
      </c>
    </row>
    <row r="75" spans="1:9" x14ac:dyDescent="0.2">
      <c r="A75" s="3">
        <v>11287223</v>
      </c>
      <c r="B75" s="3">
        <v>882256338935</v>
      </c>
      <c r="C75" s="5" t="s">
        <v>195</v>
      </c>
      <c r="D75" s="4" t="s">
        <v>135</v>
      </c>
      <c r="E75" s="6" t="s">
        <v>173</v>
      </c>
      <c r="F75" s="10">
        <v>1</v>
      </c>
      <c r="G75" s="7">
        <v>94</v>
      </c>
      <c r="H75" s="7">
        <v>94</v>
      </c>
      <c r="I75" s="1" t="str">
        <f>HYPERLINK("http://slimages.macys.com/is/image/MCY/8933891 ")</f>
        <v xml:space="preserve">http://slimages.macys.com/is/image/MCY/8933891 </v>
      </c>
    </row>
    <row r="76" spans="1:9" x14ac:dyDescent="0.2">
      <c r="A76" s="3">
        <v>11287223</v>
      </c>
      <c r="B76" s="3">
        <v>882256338928</v>
      </c>
      <c r="C76" s="5" t="s">
        <v>196</v>
      </c>
      <c r="D76" s="4" t="s">
        <v>81</v>
      </c>
      <c r="E76" s="6" t="s">
        <v>173</v>
      </c>
      <c r="F76" s="10">
        <v>1</v>
      </c>
      <c r="G76" s="7">
        <v>94</v>
      </c>
      <c r="H76" s="7">
        <v>94</v>
      </c>
      <c r="I76" s="1" t="str">
        <f>HYPERLINK("http://slimages.macys.com/is/image/MCY/8933891 ")</f>
        <v xml:space="preserve">http://slimages.macys.com/is/image/MCY/8933891 </v>
      </c>
    </row>
    <row r="77" spans="1:9" x14ac:dyDescent="0.2">
      <c r="A77" s="3">
        <v>11287223</v>
      </c>
      <c r="B77" s="3">
        <v>747542235230</v>
      </c>
      <c r="C77" s="5" t="s">
        <v>197</v>
      </c>
      <c r="D77" s="4" t="s">
        <v>158</v>
      </c>
      <c r="E77" s="6" t="s">
        <v>85</v>
      </c>
      <c r="F77" s="10">
        <v>2</v>
      </c>
      <c r="G77" s="7">
        <v>89.7</v>
      </c>
      <c r="H77" s="7">
        <v>179.4</v>
      </c>
      <c r="I77" s="1" t="str">
        <f>HYPERLINK("http://slimages.macys.com/is/image/MCY/8926340 ")</f>
        <v xml:space="preserve">http://slimages.macys.com/is/image/MCY/8926340 </v>
      </c>
    </row>
    <row r="78" spans="1:9" x14ac:dyDescent="0.2">
      <c r="A78" s="3">
        <v>11287223</v>
      </c>
      <c r="B78" s="3">
        <v>726895927535</v>
      </c>
      <c r="C78" s="5" t="s">
        <v>198</v>
      </c>
      <c r="D78" s="4" t="s">
        <v>87</v>
      </c>
      <c r="E78" s="6" t="s">
        <v>85</v>
      </c>
      <c r="F78" s="10">
        <v>1</v>
      </c>
      <c r="G78" s="7">
        <v>89.5</v>
      </c>
      <c r="H78" s="7">
        <v>89.5</v>
      </c>
      <c r="I78" s="1" t="str">
        <f>HYPERLINK("http://slimages.macys.com/is/image/MCY/9594892 ")</f>
        <v xml:space="preserve">http://slimages.macys.com/is/image/MCY/9594892 </v>
      </c>
    </row>
    <row r="79" spans="1:9" x14ac:dyDescent="0.2">
      <c r="A79" s="3">
        <v>11287223</v>
      </c>
      <c r="B79" s="3">
        <v>726895829778</v>
      </c>
      <c r="C79" s="5" t="s">
        <v>199</v>
      </c>
      <c r="D79" s="4" t="s">
        <v>81</v>
      </c>
      <c r="E79" s="6" t="s">
        <v>85</v>
      </c>
      <c r="F79" s="10">
        <v>1</v>
      </c>
      <c r="G79" s="7">
        <v>89.5</v>
      </c>
      <c r="H79" s="7">
        <v>89.5</v>
      </c>
      <c r="I79" s="1" t="str">
        <f>HYPERLINK("http://slimages.macys.com/is/image/MCY/9446831 ")</f>
        <v xml:space="preserve">http://slimages.macys.com/is/image/MCY/9446831 </v>
      </c>
    </row>
    <row r="80" spans="1:9" x14ac:dyDescent="0.2">
      <c r="A80" s="3">
        <v>11287223</v>
      </c>
      <c r="B80" s="3">
        <v>711372751796</v>
      </c>
      <c r="C80" s="5" t="s">
        <v>200</v>
      </c>
      <c r="D80" s="4" t="s">
        <v>81</v>
      </c>
      <c r="E80" s="6" t="s">
        <v>85</v>
      </c>
      <c r="F80" s="10">
        <v>2</v>
      </c>
      <c r="G80" s="7">
        <v>89.5</v>
      </c>
      <c r="H80" s="7">
        <v>179</v>
      </c>
      <c r="I80" s="1" t="str">
        <f>HYPERLINK("http://slimages.macys.com/is/image/MCY/8370354 ")</f>
        <v xml:space="preserve">http://slimages.macys.com/is/image/MCY/8370354 </v>
      </c>
    </row>
    <row r="81" spans="1:9" x14ac:dyDescent="0.2">
      <c r="A81" s="3">
        <v>11287223</v>
      </c>
      <c r="B81" s="3">
        <v>882256358643</v>
      </c>
      <c r="C81" s="5" t="s">
        <v>201</v>
      </c>
      <c r="D81" s="4" t="s">
        <v>91</v>
      </c>
      <c r="E81" s="6" t="s">
        <v>85</v>
      </c>
      <c r="F81" s="10">
        <v>1</v>
      </c>
      <c r="G81" s="7">
        <v>89</v>
      </c>
      <c r="H81" s="7">
        <v>89</v>
      </c>
      <c r="I81" s="1" t="str">
        <f>HYPERLINK("http://slimages.macys.com/is/image/MCY/9742634 ")</f>
        <v xml:space="preserve">http://slimages.macys.com/is/image/MCY/9742634 </v>
      </c>
    </row>
    <row r="82" spans="1:9" x14ac:dyDescent="0.2">
      <c r="A82" s="3">
        <v>11287223</v>
      </c>
      <c r="B82" s="3">
        <v>888188312548</v>
      </c>
      <c r="C82" s="5" t="s">
        <v>202</v>
      </c>
      <c r="D82" s="4" t="s">
        <v>109</v>
      </c>
      <c r="E82" s="6" t="s">
        <v>85</v>
      </c>
      <c r="F82" s="10">
        <v>1</v>
      </c>
      <c r="G82" s="7">
        <v>88</v>
      </c>
      <c r="H82" s="7">
        <v>88</v>
      </c>
      <c r="I82" s="1" t="str">
        <f>HYPERLINK("http://slimages.macys.com/is/image/MCY/8876044 ")</f>
        <v xml:space="preserve">http://slimages.macys.com/is/image/MCY/8876044 </v>
      </c>
    </row>
    <row r="83" spans="1:9" x14ac:dyDescent="0.2">
      <c r="A83" s="3">
        <v>11287223</v>
      </c>
      <c r="B83" s="3">
        <v>190231143338</v>
      </c>
      <c r="C83" s="5" t="s">
        <v>203</v>
      </c>
      <c r="D83" s="4" t="s">
        <v>87</v>
      </c>
      <c r="E83" s="6" t="s">
        <v>85</v>
      </c>
      <c r="F83" s="10">
        <v>1</v>
      </c>
      <c r="G83" s="7">
        <v>88</v>
      </c>
      <c r="H83" s="7">
        <v>88</v>
      </c>
      <c r="I83" s="1" t="str">
        <f>HYPERLINK("http://slimages.macys.com/is/image/MCY/9603592 ")</f>
        <v xml:space="preserve">http://slimages.macys.com/is/image/MCY/9603592 </v>
      </c>
    </row>
    <row r="84" spans="1:9" x14ac:dyDescent="0.2">
      <c r="A84" s="3">
        <v>11287223</v>
      </c>
      <c r="B84" s="3">
        <v>889487383369</v>
      </c>
      <c r="C84" s="5" t="s">
        <v>204</v>
      </c>
      <c r="D84" s="4" t="s">
        <v>205</v>
      </c>
      <c r="E84" s="6" t="s">
        <v>85</v>
      </c>
      <c r="F84" s="10">
        <v>1</v>
      </c>
      <c r="G84" s="7">
        <v>88</v>
      </c>
      <c r="H84" s="7">
        <v>88</v>
      </c>
      <c r="I84" s="1" t="str">
        <f>HYPERLINK("http://slimages.macys.com/is/image/MCY/9732300 ")</f>
        <v xml:space="preserve">http://slimages.macys.com/is/image/MCY/9732300 </v>
      </c>
    </row>
    <row r="85" spans="1:9" x14ac:dyDescent="0.2">
      <c r="A85" s="3">
        <v>11287223</v>
      </c>
      <c r="B85" s="3">
        <v>889487378518</v>
      </c>
      <c r="C85" s="5" t="s">
        <v>206</v>
      </c>
      <c r="D85" s="4" t="s">
        <v>98</v>
      </c>
      <c r="E85" s="6" t="s">
        <v>85</v>
      </c>
      <c r="F85" s="10">
        <v>1</v>
      </c>
      <c r="G85" s="7">
        <v>88</v>
      </c>
      <c r="H85" s="7">
        <v>88</v>
      </c>
      <c r="I85" s="1" t="str">
        <f>HYPERLINK("http://slimages.macys.com/is/image/MCY/9455276 ")</f>
        <v xml:space="preserve">http://slimages.macys.com/is/image/MCY/9455276 </v>
      </c>
    </row>
    <row r="86" spans="1:9" x14ac:dyDescent="0.2">
      <c r="A86" s="3">
        <v>11287223</v>
      </c>
      <c r="B86" s="3">
        <v>889487379850</v>
      </c>
      <c r="C86" s="5" t="s">
        <v>207</v>
      </c>
      <c r="D86" s="4" t="s">
        <v>100</v>
      </c>
      <c r="E86" s="6" t="s">
        <v>85</v>
      </c>
      <c r="F86" s="10">
        <v>1</v>
      </c>
      <c r="G86" s="7">
        <v>88</v>
      </c>
      <c r="H86" s="7">
        <v>88</v>
      </c>
      <c r="I86" s="1" t="str">
        <f>HYPERLINK("http://slimages.macys.com/is/image/MCY/9578442 ")</f>
        <v xml:space="preserve">http://slimages.macys.com/is/image/MCY/9578442 </v>
      </c>
    </row>
    <row r="87" spans="1:9" x14ac:dyDescent="0.2">
      <c r="A87" s="3">
        <v>11287223</v>
      </c>
      <c r="B87" s="3">
        <v>889487304166</v>
      </c>
      <c r="C87" s="5" t="s">
        <v>208</v>
      </c>
      <c r="D87" s="4" t="s">
        <v>172</v>
      </c>
      <c r="E87" s="6" t="s">
        <v>85</v>
      </c>
      <c r="F87" s="10">
        <v>1</v>
      </c>
      <c r="G87" s="7">
        <v>88</v>
      </c>
      <c r="H87" s="7">
        <v>88</v>
      </c>
      <c r="I87" s="1" t="str">
        <f>HYPERLINK("http://slimages.macys.com/is/image/MCY/8869438 ")</f>
        <v xml:space="preserve">http://slimages.macys.com/is/image/MCY/8869438 </v>
      </c>
    </row>
    <row r="88" spans="1:9" x14ac:dyDescent="0.2">
      <c r="A88" s="3">
        <v>11287223</v>
      </c>
      <c r="B88" s="3">
        <v>711640374566</v>
      </c>
      <c r="C88" s="5" t="s">
        <v>209</v>
      </c>
      <c r="D88" s="4" t="s">
        <v>81</v>
      </c>
      <c r="E88" s="6" t="s">
        <v>82</v>
      </c>
      <c r="F88" s="10">
        <v>1</v>
      </c>
      <c r="G88" s="7">
        <v>81.75</v>
      </c>
      <c r="H88" s="7">
        <v>81.75</v>
      </c>
      <c r="I88" s="1" t="str">
        <f>HYPERLINK("http://slimages.macys.com/is/image/MCY/8288484 ")</f>
        <v xml:space="preserve">http://slimages.macys.com/is/image/MCY/8288484 </v>
      </c>
    </row>
    <row r="89" spans="1:9" x14ac:dyDescent="0.2">
      <c r="A89" s="3">
        <v>11287223</v>
      </c>
      <c r="B89" s="3">
        <v>882256358636</v>
      </c>
      <c r="C89" s="5" t="s">
        <v>210</v>
      </c>
      <c r="D89" s="4" t="s">
        <v>135</v>
      </c>
      <c r="E89" s="6" t="s">
        <v>85</v>
      </c>
      <c r="F89" s="10">
        <v>1</v>
      </c>
      <c r="G89" s="7">
        <v>79</v>
      </c>
      <c r="H89" s="7">
        <v>79</v>
      </c>
      <c r="I89" s="1" t="str">
        <f>HYPERLINK("http://slimages.macys.com/is/image/MCY/9742557 ")</f>
        <v xml:space="preserve">http://slimages.macys.com/is/image/MCY/9742557 </v>
      </c>
    </row>
    <row r="90" spans="1:9" x14ac:dyDescent="0.2">
      <c r="A90" s="3">
        <v>11287223</v>
      </c>
      <c r="B90" s="3">
        <v>886003487280</v>
      </c>
      <c r="C90" s="5" t="s">
        <v>211</v>
      </c>
      <c r="D90" s="4" t="s">
        <v>117</v>
      </c>
      <c r="E90" s="6" t="s">
        <v>82</v>
      </c>
      <c r="F90" s="10">
        <v>1</v>
      </c>
      <c r="G90" s="7">
        <v>78</v>
      </c>
      <c r="H90" s="7">
        <v>78</v>
      </c>
      <c r="I90" s="1" t="str">
        <f>HYPERLINK("http://slimages.macys.com/is/image/MCY/8763696 ")</f>
        <v xml:space="preserve">http://slimages.macys.com/is/image/MCY/8763696 </v>
      </c>
    </row>
    <row r="91" spans="1:9" x14ac:dyDescent="0.2">
      <c r="A91" s="3">
        <v>11287223</v>
      </c>
      <c r="B91" s="3">
        <v>886003414590</v>
      </c>
      <c r="C91" s="5" t="s">
        <v>212</v>
      </c>
      <c r="D91" s="4" t="s">
        <v>81</v>
      </c>
      <c r="E91" s="6" t="s">
        <v>82</v>
      </c>
      <c r="F91" s="10">
        <v>1</v>
      </c>
      <c r="G91" s="7">
        <v>78</v>
      </c>
      <c r="H91" s="7">
        <v>78</v>
      </c>
      <c r="I91" s="1" t="str">
        <f>HYPERLINK("http://slimages.macys.com/is/image/MCY/3971161 ")</f>
        <v xml:space="preserve">http://slimages.macys.com/is/image/MCY/3971161 </v>
      </c>
    </row>
    <row r="92" spans="1:9" x14ac:dyDescent="0.2">
      <c r="A92" s="3">
        <v>11287223</v>
      </c>
      <c r="B92" s="3">
        <v>191935091161</v>
      </c>
      <c r="C92" s="5" t="s">
        <v>213</v>
      </c>
      <c r="D92" s="4" t="s">
        <v>158</v>
      </c>
      <c r="E92" s="6" t="s">
        <v>82</v>
      </c>
      <c r="F92" s="10">
        <v>4</v>
      </c>
      <c r="G92" s="7">
        <v>78</v>
      </c>
      <c r="H92" s="7">
        <v>312</v>
      </c>
      <c r="I92" s="1" t="str">
        <f>HYPERLINK("http://slimages.macys.com/is/image/MCY/9028983 ")</f>
        <v xml:space="preserve">http://slimages.macys.com/is/image/MCY/9028983 </v>
      </c>
    </row>
    <row r="93" spans="1:9" x14ac:dyDescent="0.2">
      <c r="A93" s="3">
        <v>11287223</v>
      </c>
      <c r="B93" s="3">
        <v>889487296874</v>
      </c>
      <c r="C93" s="5" t="s">
        <v>214</v>
      </c>
      <c r="D93" s="4" t="s">
        <v>100</v>
      </c>
      <c r="E93" s="6" t="s">
        <v>85</v>
      </c>
      <c r="F93" s="10">
        <v>1</v>
      </c>
      <c r="G93" s="7">
        <v>78</v>
      </c>
      <c r="H93" s="7">
        <v>78</v>
      </c>
      <c r="I93" s="1" t="str">
        <f>HYPERLINK("http://slimages.macys.com/is/image/MCY/8869365 ")</f>
        <v xml:space="preserve">http://slimages.macys.com/is/image/MCY/8869365 </v>
      </c>
    </row>
    <row r="94" spans="1:9" x14ac:dyDescent="0.2">
      <c r="A94" s="3">
        <v>11287223</v>
      </c>
      <c r="B94" s="3">
        <v>889487380658</v>
      </c>
      <c r="C94" s="5" t="s">
        <v>215</v>
      </c>
      <c r="D94" s="4" t="s">
        <v>205</v>
      </c>
      <c r="E94" s="6" t="s">
        <v>85</v>
      </c>
      <c r="F94" s="10">
        <v>1</v>
      </c>
      <c r="G94" s="7">
        <v>78</v>
      </c>
      <c r="H94" s="7">
        <v>78</v>
      </c>
      <c r="I94" s="1" t="str">
        <f>HYPERLINK("http://slimages.macys.com/is/image/MCY/9670568 ")</f>
        <v xml:space="preserve">http://slimages.macys.com/is/image/MCY/9670568 </v>
      </c>
    </row>
    <row r="95" spans="1:9" x14ac:dyDescent="0.2">
      <c r="A95" s="3">
        <v>11287223</v>
      </c>
      <c r="B95" s="3">
        <v>889487356462</v>
      </c>
      <c r="C95" s="5" t="s">
        <v>216</v>
      </c>
      <c r="D95" s="4" t="s">
        <v>205</v>
      </c>
      <c r="E95" s="6" t="s">
        <v>85</v>
      </c>
      <c r="F95" s="10">
        <v>1</v>
      </c>
      <c r="G95" s="7">
        <v>78</v>
      </c>
      <c r="H95" s="7">
        <v>78</v>
      </c>
      <c r="I95" s="1" t="str">
        <f>HYPERLINK("http://slimages.macys.com/is/image/MCY/9258311 ")</f>
        <v xml:space="preserve">http://slimages.macys.com/is/image/MCY/9258311 </v>
      </c>
    </row>
    <row r="96" spans="1:9" x14ac:dyDescent="0.2">
      <c r="A96" s="3">
        <v>11287223</v>
      </c>
      <c r="B96" s="3">
        <v>889487371014</v>
      </c>
      <c r="C96" s="5" t="s">
        <v>217</v>
      </c>
      <c r="D96" s="4" t="s">
        <v>100</v>
      </c>
      <c r="E96" s="6" t="s">
        <v>85</v>
      </c>
      <c r="F96" s="10">
        <v>1</v>
      </c>
      <c r="G96" s="7">
        <v>78</v>
      </c>
      <c r="H96" s="7">
        <v>78</v>
      </c>
      <c r="I96" s="1" t="str">
        <f>HYPERLINK("http://slimages.macys.com/is/image/MCY/9578541 ")</f>
        <v xml:space="preserve">http://slimages.macys.com/is/image/MCY/9578541 </v>
      </c>
    </row>
    <row r="97" spans="1:9" x14ac:dyDescent="0.2">
      <c r="A97" s="3">
        <v>11287223</v>
      </c>
      <c r="B97" s="3">
        <v>747542187669</v>
      </c>
      <c r="C97" s="5" t="s">
        <v>218</v>
      </c>
      <c r="D97" s="4" t="s">
        <v>81</v>
      </c>
      <c r="E97" s="6" t="s">
        <v>82</v>
      </c>
      <c r="F97" s="10">
        <v>2</v>
      </c>
      <c r="G97" s="7">
        <v>77.7</v>
      </c>
      <c r="H97" s="7">
        <v>155.4</v>
      </c>
      <c r="I97" s="1" t="str">
        <f>HYPERLINK("http://slimages.macys.com/is/image/MCY/2594889 ")</f>
        <v xml:space="preserve">http://slimages.macys.com/is/image/MCY/2594889 </v>
      </c>
    </row>
    <row r="98" spans="1:9" x14ac:dyDescent="0.2">
      <c r="A98" s="3">
        <v>11287223</v>
      </c>
      <c r="B98" s="3">
        <v>732437478106</v>
      </c>
      <c r="C98" s="5" t="s">
        <v>219</v>
      </c>
      <c r="D98" s="4" t="s">
        <v>220</v>
      </c>
      <c r="E98" s="6" t="s">
        <v>85</v>
      </c>
      <c r="F98" s="10">
        <v>1</v>
      </c>
      <c r="G98" s="7">
        <v>77</v>
      </c>
      <c r="H98" s="7">
        <v>77</v>
      </c>
      <c r="I98" s="1" t="str">
        <f>HYPERLINK("http://slimages.macys.com/is/image/MCY/9263233 ")</f>
        <v xml:space="preserve">http://slimages.macys.com/is/image/MCY/9263233 </v>
      </c>
    </row>
    <row r="99" spans="1:9" x14ac:dyDescent="0.2">
      <c r="A99" s="3">
        <v>11287223</v>
      </c>
      <c r="B99" s="3">
        <v>740348982032</v>
      </c>
      <c r="C99" s="5" t="s">
        <v>221</v>
      </c>
      <c r="D99" s="4" t="s">
        <v>94</v>
      </c>
      <c r="E99" s="6" t="s">
        <v>85</v>
      </c>
      <c r="F99" s="10">
        <v>1</v>
      </c>
      <c r="G99" s="7">
        <v>77</v>
      </c>
      <c r="H99" s="7">
        <v>77</v>
      </c>
      <c r="I99" s="1" t="str">
        <f>HYPERLINK("http://slimages.macys.com/is/image/MCY/9313593 ")</f>
        <v xml:space="preserve">http://slimages.macys.com/is/image/MCY/9313593 </v>
      </c>
    </row>
    <row r="100" spans="1:9" x14ac:dyDescent="0.2">
      <c r="A100" s="3">
        <v>11287223</v>
      </c>
      <c r="B100" s="3">
        <v>711640567166</v>
      </c>
      <c r="C100" s="5" t="s">
        <v>222</v>
      </c>
      <c r="D100" s="4" t="s">
        <v>223</v>
      </c>
      <c r="E100" s="6" t="s">
        <v>82</v>
      </c>
      <c r="F100" s="10">
        <v>1</v>
      </c>
      <c r="G100" s="7">
        <v>76.7</v>
      </c>
      <c r="H100" s="7">
        <v>76.7</v>
      </c>
      <c r="I100" s="1" t="str">
        <f>HYPERLINK("http://slimages.macys.com/is/image/MCY/8608544 ")</f>
        <v xml:space="preserve">http://slimages.macys.com/is/image/MCY/8608544 </v>
      </c>
    </row>
    <row r="101" spans="1:9" x14ac:dyDescent="0.2">
      <c r="A101" s="3">
        <v>11287223</v>
      </c>
      <c r="B101" s="3">
        <v>191202470330</v>
      </c>
      <c r="C101" s="5" t="s">
        <v>224</v>
      </c>
      <c r="D101" s="4" t="s">
        <v>98</v>
      </c>
      <c r="E101" s="6" t="s">
        <v>82</v>
      </c>
      <c r="F101" s="10">
        <v>2</v>
      </c>
      <c r="G101" s="7">
        <v>75</v>
      </c>
      <c r="H101" s="7">
        <v>150</v>
      </c>
      <c r="I101" s="1" t="str">
        <f>HYPERLINK("http://slimages.macys.com/is/image/MCY/9478088 ")</f>
        <v xml:space="preserve">http://slimages.macys.com/is/image/MCY/9478088 </v>
      </c>
    </row>
    <row r="102" spans="1:9" x14ac:dyDescent="0.2">
      <c r="A102" s="3">
        <v>11287223</v>
      </c>
      <c r="B102" s="3">
        <v>190864506753</v>
      </c>
      <c r="C102" s="5" t="s">
        <v>225</v>
      </c>
      <c r="D102" s="4" t="s">
        <v>148</v>
      </c>
      <c r="E102" s="6" t="s">
        <v>82</v>
      </c>
      <c r="F102" s="10">
        <v>1</v>
      </c>
      <c r="G102" s="7">
        <v>75</v>
      </c>
      <c r="H102" s="7">
        <v>75</v>
      </c>
      <c r="I102" s="1" t="str">
        <f>HYPERLINK("http://slimages.macys.com/is/image/MCY/8234654 ")</f>
        <v xml:space="preserve">http://slimages.macys.com/is/image/MCY/8234654 </v>
      </c>
    </row>
    <row r="103" spans="1:9" x14ac:dyDescent="0.2">
      <c r="A103" s="3">
        <v>11287223</v>
      </c>
      <c r="B103" s="3">
        <v>711640566534</v>
      </c>
      <c r="C103" s="5" t="s">
        <v>226</v>
      </c>
      <c r="D103" s="4" t="s">
        <v>103</v>
      </c>
      <c r="E103" s="6" t="s">
        <v>82</v>
      </c>
      <c r="F103" s="10">
        <v>1</v>
      </c>
      <c r="G103" s="7">
        <v>74.25</v>
      </c>
      <c r="H103" s="7">
        <v>74.25</v>
      </c>
      <c r="I103" s="1" t="str">
        <f>HYPERLINK("http://slimages.macys.com/is/image/MCY/9432396 ")</f>
        <v xml:space="preserve">http://slimages.macys.com/is/image/MCY/9432396 </v>
      </c>
    </row>
    <row r="104" spans="1:9" x14ac:dyDescent="0.2">
      <c r="A104" s="3">
        <v>11287223</v>
      </c>
      <c r="B104" s="3">
        <v>711640593639</v>
      </c>
      <c r="C104" s="5" t="s">
        <v>227</v>
      </c>
      <c r="D104" s="4" t="s">
        <v>94</v>
      </c>
      <c r="E104" s="6" t="s">
        <v>82</v>
      </c>
      <c r="F104" s="10">
        <v>1</v>
      </c>
      <c r="G104" s="7">
        <v>74.25</v>
      </c>
      <c r="H104" s="7">
        <v>74.25</v>
      </c>
      <c r="I104" s="1" t="str">
        <f>HYPERLINK("http://slimages.macys.com/is/image/MCY/9728744 ")</f>
        <v xml:space="preserve">http://slimages.macys.com/is/image/MCY/9728744 </v>
      </c>
    </row>
    <row r="105" spans="1:9" x14ac:dyDescent="0.2">
      <c r="A105" s="3">
        <v>11287223</v>
      </c>
      <c r="B105" s="3">
        <v>706258927433</v>
      </c>
      <c r="C105" s="5" t="s">
        <v>228</v>
      </c>
      <c r="D105" s="4" t="s">
        <v>115</v>
      </c>
      <c r="E105" s="6" t="s">
        <v>85</v>
      </c>
      <c r="F105" s="10">
        <v>1</v>
      </c>
      <c r="G105" s="7">
        <v>69.5</v>
      </c>
      <c r="H105" s="7">
        <v>69.5</v>
      </c>
      <c r="I105" s="1" t="str">
        <f>HYPERLINK("http://slimages.macys.com/is/image/MCY/9779822 ")</f>
        <v xml:space="preserve">http://slimages.macys.com/is/image/MCY/9779822 </v>
      </c>
    </row>
    <row r="106" spans="1:9" x14ac:dyDescent="0.2">
      <c r="A106" s="3">
        <v>11287223</v>
      </c>
      <c r="B106" s="3">
        <v>740347842702</v>
      </c>
      <c r="C106" s="5" t="s">
        <v>229</v>
      </c>
      <c r="D106" s="4" t="s">
        <v>135</v>
      </c>
      <c r="E106" s="6" t="s">
        <v>85</v>
      </c>
      <c r="F106" s="10">
        <v>1</v>
      </c>
      <c r="G106" s="7">
        <v>69.22</v>
      </c>
      <c r="H106" s="7">
        <v>69.22</v>
      </c>
      <c r="I106" s="1" t="str">
        <f>HYPERLINK("http://slimages.macys.com/is/image/MCY/9185609 ")</f>
        <v xml:space="preserve">http://slimages.macys.com/is/image/MCY/9185609 </v>
      </c>
    </row>
    <row r="107" spans="1:9" x14ac:dyDescent="0.2">
      <c r="A107" s="3">
        <v>11287223</v>
      </c>
      <c r="B107" s="3">
        <v>740372247947</v>
      </c>
      <c r="C107" s="5" t="s">
        <v>230</v>
      </c>
      <c r="D107" s="4" t="s">
        <v>155</v>
      </c>
      <c r="E107" s="6" t="s">
        <v>85</v>
      </c>
      <c r="F107" s="10">
        <v>1</v>
      </c>
      <c r="G107" s="7">
        <v>69.22</v>
      </c>
      <c r="H107" s="7">
        <v>69.22</v>
      </c>
      <c r="I107" s="1" t="str">
        <f>HYPERLINK("http://slimages.macys.com/is/image/MCY/9289080 ")</f>
        <v xml:space="preserve">http://slimages.macys.com/is/image/MCY/9289080 </v>
      </c>
    </row>
    <row r="108" spans="1:9" x14ac:dyDescent="0.2">
      <c r="A108" s="3">
        <v>11287223</v>
      </c>
      <c r="B108" s="3">
        <v>887986068497</v>
      </c>
      <c r="C108" s="5" t="s">
        <v>231</v>
      </c>
      <c r="D108" s="4" t="s">
        <v>89</v>
      </c>
      <c r="E108" s="6" t="s">
        <v>85</v>
      </c>
      <c r="F108" s="10">
        <v>1</v>
      </c>
      <c r="G108" s="7">
        <v>69</v>
      </c>
      <c r="H108" s="7">
        <v>69</v>
      </c>
      <c r="I108" s="1" t="str">
        <f>HYPERLINK("http://slimages.macys.com/is/image/MCY/3878893 ")</f>
        <v xml:space="preserve">http://slimages.macys.com/is/image/MCY/3878893 </v>
      </c>
    </row>
    <row r="109" spans="1:9" x14ac:dyDescent="0.2">
      <c r="A109" s="3">
        <v>11287223</v>
      </c>
      <c r="B109" s="3">
        <v>882256277982</v>
      </c>
      <c r="C109" s="5" t="s">
        <v>232</v>
      </c>
      <c r="D109" s="4" t="s">
        <v>138</v>
      </c>
      <c r="E109" s="6" t="s">
        <v>173</v>
      </c>
      <c r="F109" s="10">
        <v>1</v>
      </c>
      <c r="G109" s="7">
        <v>69</v>
      </c>
      <c r="H109" s="7">
        <v>69</v>
      </c>
      <c r="I109" s="1" t="str">
        <f>HYPERLINK("http://slimages.macys.com/is/image/MCY/3632447 ")</f>
        <v xml:space="preserve">http://slimages.macys.com/is/image/MCY/3632447 </v>
      </c>
    </row>
    <row r="110" spans="1:9" x14ac:dyDescent="0.2">
      <c r="A110" s="3">
        <v>11287223</v>
      </c>
      <c r="B110" s="3">
        <v>882256360707</v>
      </c>
      <c r="C110" s="5" t="s">
        <v>233</v>
      </c>
      <c r="D110" s="4" t="s">
        <v>158</v>
      </c>
      <c r="E110" s="6" t="s">
        <v>173</v>
      </c>
      <c r="F110" s="10">
        <v>1</v>
      </c>
      <c r="G110" s="7">
        <v>69</v>
      </c>
      <c r="H110" s="7">
        <v>69</v>
      </c>
      <c r="I110" s="1" t="str">
        <f>HYPERLINK("http://slimages.macys.com/is/image/MCY/8450344 ")</f>
        <v xml:space="preserve">http://slimages.macys.com/is/image/MCY/8450344 </v>
      </c>
    </row>
    <row r="111" spans="1:9" x14ac:dyDescent="0.2">
      <c r="A111" s="3">
        <v>11287223</v>
      </c>
      <c r="B111" s="3">
        <v>886003510926</v>
      </c>
      <c r="C111" s="5" t="s">
        <v>234</v>
      </c>
      <c r="D111" s="4" t="s">
        <v>235</v>
      </c>
      <c r="E111" s="6" t="s">
        <v>82</v>
      </c>
      <c r="F111" s="10">
        <v>1</v>
      </c>
      <c r="G111" s="7">
        <v>68</v>
      </c>
      <c r="H111" s="7">
        <v>68</v>
      </c>
      <c r="I111" s="1" t="str">
        <f>HYPERLINK("http://slimages.macys.com/is/image/MCY/9421926 ")</f>
        <v xml:space="preserve">http://slimages.macys.com/is/image/MCY/9421926 </v>
      </c>
    </row>
    <row r="112" spans="1:9" x14ac:dyDescent="0.2">
      <c r="A112" s="3">
        <v>11287223</v>
      </c>
      <c r="B112" s="3">
        <v>191262050732</v>
      </c>
      <c r="C112" s="5" t="s">
        <v>236</v>
      </c>
      <c r="D112" s="4" t="s">
        <v>100</v>
      </c>
      <c r="E112" s="6" t="s">
        <v>82</v>
      </c>
      <c r="F112" s="10">
        <v>1</v>
      </c>
      <c r="G112" s="7">
        <v>68</v>
      </c>
      <c r="H112" s="7">
        <v>68</v>
      </c>
      <c r="I112" s="1" t="str">
        <f>HYPERLINK("http://slimages.macys.com/is/image/MCY/8523768 ")</f>
        <v xml:space="preserve">http://slimages.macys.com/is/image/MCY/8523768 </v>
      </c>
    </row>
    <row r="113" spans="1:9" x14ac:dyDescent="0.2">
      <c r="A113" s="3">
        <v>11287223</v>
      </c>
      <c r="B113" s="3">
        <v>889487421559</v>
      </c>
      <c r="C113" s="5" t="s">
        <v>237</v>
      </c>
      <c r="D113" s="4" t="s">
        <v>238</v>
      </c>
      <c r="E113" s="6" t="s">
        <v>85</v>
      </c>
      <c r="F113" s="10">
        <v>1</v>
      </c>
      <c r="G113" s="7">
        <v>68</v>
      </c>
      <c r="H113" s="7">
        <v>68</v>
      </c>
      <c r="I113" s="1" t="str">
        <f>HYPERLINK("http://slimages.macys.com/is/image/MCY/9734228 ")</f>
        <v xml:space="preserve">http://slimages.macys.com/is/image/MCY/9734228 </v>
      </c>
    </row>
    <row r="114" spans="1:9" x14ac:dyDescent="0.2">
      <c r="A114" s="3">
        <v>11287223</v>
      </c>
      <c r="B114" s="3">
        <v>747542242368</v>
      </c>
      <c r="C114" s="5" t="s">
        <v>239</v>
      </c>
      <c r="D114" s="4" t="s">
        <v>117</v>
      </c>
      <c r="E114" s="6" t="s">
        <v>85</v>
      </c>
      <c r="F114" s="10">
        <v>1</v>
      </c>
      <c r="G114" s="7">
        <v>67.58</v>
      </c>
      <c r="H114" s="7">
        <v>67.58</v>
      </c>
      <c r="I114" s="1" t="str">
        <f>HYPERLINK("http://slimages.macys.com/is/image/MCY/9446649 ")</f>
        <v xml:space="preserve">http://slimages.macys.com/is/image/MCY/9446649 </v>
      </c>
    </row>
    <row r="115" spans="1:9" x14ac:dyDescent="0.2">
      <c r="A115" s="3">
        <v>11287223</v>
      </c>
      <c r="B115" s="3">
        <v>747542235018</v>
      </c>
      <c r="C115" s="5" t="s">
        <v>240</v>
      </c>
      <c r="D115" s="4" t="s">
        <v>135</v>
      </c>
      <c r="E115" s="6" t="s">
        <v>85</v>
      </c>
      <c r="F115" s="10">
        <v>3</v>
      </c>
      <c r="G115" s="7">
        <v>67.58</v>
      </c>
      <c r="H115" s="7">
        <v>202.74</v>
      </c>
      <c r="I115" s="1" t="str">
        <f>HYPERLINK("http://slimages.macys.com/is/image/MCY/9379556 ")</f>
        <v xml:space="preserve">http://slimages.macys.com/is/image/MCY/9379556 </v>
      </c>
    </row>
    <row r="116" spans="1:9" x14ac:dyDescent="0.2">
      <c r="A116" s="3">
        <v>11287223</v>
      </c>
      <c r="B116" s="3">
        <v>711640549117</v>
      </c>
      <c r="C116" s="5" t="s">
        <v>241</v>
      </c>
      <c r="D116" s="4" t="s">
        <v>220</v>
      </c>
      <c r="E116" s="6" t="s">
        <v>82</v>
      </c>
      <c r="F116" s="10">
        <v>1</v>
      </c>
      <c r="G116" s="7">
        <v>66.75</v>
      </c>
      <c r="H116" s="7">
        <v>66.75</v>
      </c>
      <c r="I116" s="1" t="str">
        <f>HYPERLINK("http://slimages.macys.com/is/image/MCY/8017717 ")</f>
        <v xml:space="preserve">http://slimages.macys.com/is/image/MCY/8017717 </v>
      </c>
    </row>
    <row r="117" spans="1:9" x14ac:dyDescent="0.2">
      <c r="A117" s="3">
        <v>11287223</v>
      </c>
      <c r="B117" s="3">
        <v>747542238378</v>
      </c>
      <c r="C117" s="5" t="s">
        <v>242</v>
      </c>
      <c r="D117" s="4" t="s">
        <v>129</v>
      </c>
      <c r="E117" s="6" t="s">
        <v>85</v>
      </c>
      <c r="F117" s="10">
        <v>2</v>
      </c>
      <c r="G117" s="7">
        <v>65.7</v>
      </c>
      <c r="H117" s="7">
        <v>131.4</v>
      </c>
      <c r="I117" s="1" t="str">
        <f>HYPERLINK("http://slimages.macys.com/is/image/MCY/8688080 ")</f>
        <v xml:space="preserve">http://slimages.macys.com/is/image/MCY/8688080 </v>
      </c>
    </row>
    <row r="118" spans="1:9" x14ac:dyDescent="0.2">
      <c r="A118" s="3">
        <v>11287223</v>
      </c>
      <c r="B118" s="3">
        <v>98687160735</v>
      </c>
      <c r="C118" s="5" t="s">
        <v>243</v>
      </c>
      <c r="D118" s="4"/>
      <c r="E118" s="6" t="s">
        <v>85</v>
      </c>
      <c r="F118" s="10">
        <v>1</v>
      </c>
      <c r="G118" s="7">
        <v>65</v>
      </c>
      <c r="H118" s="7">
        <v>65</v>
      </c>
      <c r="I118" s="1" t="str">
        <f>HYPERLINK("http://slimages.macys.com/is/image/MCY/8791762 ")</f>
        <v xml:space="preserve">http://slimages.macys.com/is/image/MCY/8791762 </v>
      </c>
    </row>
    <row r="119" spans="1:9" x14ac:dyDescent="0.2">
      <c r="A119" s="3">
        <v>11287223</v>
      </c>
      <c r="B119" s="3">
        <v>726895828139</v>
      </c>
      <c r="C119" s="5" t="s">
        <v>244</v>
      </c>
      <c r="D119" s="4" t="s">
        <v>245</v>
      </c>
      <c r="E119" s="6" t="s">
        <v>85</v>
      </c>
      <c r="F119" s="10">
        <v>1</v>
      </c>
      <c r="G119" s="7">
        <v>59.5</v>
      </c>
      <c r="H119" s="7">
        <v>59.5</v>
      </c>
      <c r="I119" s="1" t="str">
        <f>HYPERLINK("http://slimages.macys.com/is/image/MCY/9478568 ")</f>
        <v xml:space="preserve">http://slimages.macys.com/is/image/MCY/9478568 </v>
      </c>
    </row>
    <row r="120" spans="1:9" x14ac:dyDescent="0.2">
      <c r="A120" s="3">
        <v>11287223</v>
      </c>
      <c r="B120" s="3">
        <v>711640595473</v>
      </c>
      <c r="C120" s="5" t="s">
        <v>246</v>
      </c>
      <c r="D120" s="4" t="s">
        <v>103</v>
      </c>
      <c r="E120" s="6" t="s">
        <v>82</v>
      </c>
      <c r="F120" s="10">
        <v>3</v>
      </c>
      <c r="G120" s="7">
        <v>59.25</v>
      </c>
      <c r="H120" s="7">
        <v>177.75</v>
      </c>
      <c r="I120" s="1" t="str">
        <f>HYPERLINK("http://slimages.macys.com/is/image/MCY/9504164 ")</f>
        <v xml:space="preserve">http://slimages.macys.com/is/image/MCY/9504164 </v>
      </c>
    </row>
    <row r="121" spans="1:9" x14ac:dyDescent="0.2">
      <c r="A121" s="3">
        <v>11287223</v>
      </c>
      <c r="B121" s="3">
        <v>711640598757</v>
      </c>
      <c r="C121" s="5" t="s">
        <v>247</v>
      </c>
      <c r="D121" s="4" t="s">
        <v>135</v>
      </c>
      <c r="E121" s="6" t="s">
        <v>82</v>
      </c>
      <c r="F121" s="10">
        <v>1</v>
      </c>
      <c r="G121" s="7">
        <v>59.25</v>
      </c>
      <c r="H121" s="7">
        <v>59.25</v>
      </c>
      <c r="I121" s="1" t="str">
        <f>HYPERLINK("http://slimages.macys.com/is/image/MCY/9631220 ")</f>
        <v xml:space="preserve">http://slimages.macys.com/is/image/MCY/9631220 </v>
      </c>
    </row>
    <row r="122" spans="1:9" x14ac:dyDescent="0.2">
      <c r="A122" s="3">
        <v>11287223</v>
      </c>
      <c r="B122" s="3">
        <v>711640595633</v>
      </c>
      <c r="C122" s="5" t="s">
        <v>248</v>
      </c>
      <c r="D122" s="4" t="s">
        <v>235</v>
      </c>
      <c r="E122" s="6" t="s">
        <v>82</v>
      </c>
      <c r="F122" s="10">
        <v>3</v>
      </c>
      <c r="G122" s="7">
        <v>59.25</v>
      </c>
      <c r="H122" s="7">
        <v>177.75</v>
      </c>
      <c r="I122" s="1" t="str">
        <f>HYPERLINK("http://slimages.macys.com/is/image/MCY/9504164 ")</f>
        <v xml:space="preserve">http://slimages.macys.com/is/image/MCY/9504164 </v>
      </c>
    </row>
    <row r="123" spans="1:9" x14ac:dyDescent="0.2">
      <c r="A123" s="3">
        <v>11287223</v>
      </c>
      <c r="B123" s="3">
        <v>711640595459</v>
      </c>
      <c r="C123" s="5" t="s">
        <v>249</v>
      </c>
      <c r="D123" s="4" t="s">
        <v>100</v>
      </c>
      <c r="E123" s="6" t="s">
        <v>82</v>
      </c>
      <c r="F123" s="10">
        <v>1</v>
      </c>
      <c r="G123" s="7">
        <v>59.25</v>
      </c>
      <c r="H123" s="7">
        <v>59.25</v>
      </c>
      <c r="I123" s="1" t="str">
        <f>HYPERLINK("http://slimages.macys.com/is/image/MCY/9504164 ")</f>
        <v xml:space="preserve">http://slimages.macys.com/is/image/MCY/9504164 </v>
      </c>
    </row>
    <row r="124" spans="1:9" x14ac:dyDescent="0.2">
      <c r="A124" s="3">
        <v>11287223</v>
      </c>
      <c r="B124" s="3">
        <v>711640595657</v>
      </c>
      <c r="C124" s="5" t="s">
        <v>250</v>
      </c>
      <c r="D124" s="4" t="s">
        <v>235</v>
      </c>
      <c r="E124" s="6" t="s">
        <v>82</v>
      </c>
      <c r="F124" s="10">
        <v>1</v>
      </c>
      <c r="G124" s="7">
        <v>59.25</v>
      </c>
      <c r="H124" s="7">
        <v>59.25</v>
      </c>
      <c r="I124" s="1" t="str">
        <f>HYPERLINK("http://slimages.macys.com/is/image/MCY/9504476 ")</f>
        <v xml:space="preserve">http://slimages.macys.com/is/image/MCY/9504476 </v>
      </c>
    </row>
    <row r="125" spans="1:9" x14ac:dyDescent="0.2">
      <c r="A125" s="3">
        <v>11287223</v>
      </c>
      <c r="B125" s="3">
        <v>711640595510</v>
      </c>
      <c r="C125" s="5" t="s">
        <v>251</v>
      </c>
      <c r="D125" s="4" t="s">
        <v>103</v>
      </c>
      <c r="E125" s="6" t="s">
        <v>82</v>
      </c>
      <c r="F125" s="10">
        <v>1</v>
      </c>
      <c r="G125" s="7">
        <v>59.25</v>
      </c>
      <c r="H125" s="7">
        <v>59.25</v>
      </c>
      <c r="I125" s="1" t="str">
        <f>HYPERLINK("http://slimages.macys.com/is/image/MCY/9504476 ")</f>
        <v xml:space="preserve">http://slimages.macys.com/is/image/MCY/9504476 </v>
      </c>
    </row>
    <row r="126" spans="1:9" x14ac:dyDescent="0.2">
      <c r="A126" s="3">
        <v>11287223</v>
      </c>
      <c r="B126" s="3">
        <v>192317319163</v>
      </c>
      <c r="C126" s="5" t="s">
        <v>252</v>
      </c>
      <c r="D126" s="4" t="s">
        <v>253</v>
      </c>
      <c r="E126" s="6" t="s">
        <v>82</v>
      </c>
      <c r="F126" s="10">
        <v>4</v>
      </c>
      <c r="G126" s="7">
        <v>58.11</v>
      </c>
      <c r="H126" s="7">
        <v>232.44</v>
      </c>
      <c r="I126" s="1" t="str">
        <f>HYPERLINK("http://slimages.macys.com/is/image/MCY/9618315 ")</f>
        <v xml:space="preserve">http://slimages.macys.com/is/image/MCY/9618315 </v>
      </c>
    </row>
    <row r="127" spans="1:9" x14ac:dyDescent="0.2">
      <c r="A127" s="3">
        <v>11287223</v>
      </c>
      <c r="B127" s="3">
        <v>191935091710</v>
      </c>
      <c r="C127" s="5" t="s">
        <v>254</v>
      </c>
      <c r="D127" s="4" t="s">
        <v>91</v>
      </c>
      <c r="E127" s="6" t="s">
        <v>82</v>
      </c>
      <c r="F127" s="10">
        <v>1</v>
      </c>
      <c r="G127" s="7">
        <v>58</v>
      </c>
      <c r="H127" s="7">
        <v>58</v>
      </c>
      <c r="I127" s="1" t="str">
        <f>HYPERLINK("http://slimages.macys.com/is/image/MCY/9029127 ")</f>
        <v xml:space="preserve">http://slimages.macys.com/is/image/MCY/9029127 </v>
      </c>
    </row>
    <row r="128" spans="1:9" x14ac:dyDescent="0.2">
      <c r="A128" s="3">
        <v>11287223</v>
      </c>
      <c r="B128" s="3">
        <v>191935107152</v>
      </c>
      <c r="C128" s="5" t="s">
        <v>255</v>
      </c>
      <c r="D128" s="4" t="s">
        <v>158</v>
      </c>
      <c r="E128" s="6" t="s">
        <v>82</v>
      </c>
      <c r="F128" s="10">
        <v>1</v>
      </c>
      <c r="G128" s="7">
        <v>58</v>
      </c>
      <c r="H128" s="7">
        <v>58</v>
      </c>
      <c r="I128" s="1" t="str">
        <f>HYPERLINK("http://slimages.macys.com/is/image/MCY/9988306 ")</f>
        <v xml:space="preserve">http://slimages.macys.com/is/image/MCY/9988306 </v>
      </c>
    </row>
    <row r="129" spans="1:9" x14ac:dyDescent="0.2">
      <c r="A129" s="3">
        <v>11287223</v>
      </c>
      <c r="B129" s="3">
        <v>889487285724</v>
      </c>
      <c r="C129" s="5" t="s">
        <v>256</v>
      </c>
      <c r="D129" s="4" t="s">
        <v>81</v>
      </c>
      <c r="E129" s="6" t="s">
        <v>85</v>
      </c>
      <c r="F129" s="10">
        <v>1</v>
      </c>
      <c r="G129" s="7">
        <v>58</v>
      </c>
      <c r="H129" s="7">
        <v>58</v>
      </c>
      <c r="I129" s="1" t="str">
        <f>HYPERLINK("http://slimages.macys.com/is/image/MCY/8803763 ")</f>
        <v xml:space="preserve">http://slimages.macys.com/is/image/MCY/8803763 </v>
      </c>
    </row>
    <row r="130" spans="1:9" x14ac:dyDescent="0.2">
      <c r="A130" s="3">
        <v>11287223</v>
      </c>
      <c r="B130" s="3">
        <v>98687117500</v>
      </c>
      <c r="C130" s="5" t="s">
        <v>257</v>
      </c>
      <c r="D130" s="4" t="s">
        <v>91</v>
      </c>
      <c r="E130" s="6" t="s">
        <v>85</v>
      </c>
      <c r="F130" s="10">
        <v>3</v>
      </c>
      <c r="G130" s="7">
        <v>50</v>
      </c>
      <c r="H130" s="7">
        <v>150</v>
      </c>
      <c r="I130" s="1" t="str">
        <f>HYPERLINK("http://slimages.macys.com/is/image/MCY/8580729 ")</f>
        <v xml:space="preserve">http://slimages.macys.com/is/image/MCY/8580729 </v>
      </c>
    </row>
    <row r="131" spans="1:9" x14ac:dyDescent="0.2">
      <c r="A131" s="3">
        <v>11287223</v>
      </c>
      <c r="B131" s="3">
        <v>98687196468</v>
      </c>
      <c r="C131" s="5" t="s">
        <v>258</v>
      </c>
      <c r="D131" s="4"/>
      <c r="E131" s="6" t="s">
        <v>85</v>
      </c>
      <c r="F131" s="10">
        <v>1</v>
      </c>
      <c r="G131" s="7">
        <v>50</v>
      </c>
      <c r="H131" s="7">
        <v>50</v>
      </c>
      <c r="I131" s="1" t="str">
        <f>HYPERLINK("http://slimages.macys.com/is/image/MCY/9433841 ")</f>
        <v xml:space="preserve">http://slimages.macys.com/is/image/MCY/9433841 </v>
      </c>
    </row>
    <row r="132" spans="1:9" x14ac:dyDescent="0.2">
      <c r="A132" s="3">
        <v>11287223</v>
      </c>
      <c r="B132" s="3">
        <v>190231115915</v>
      </c>
      <c r="C132" s="5" t="s">
        <v>259</v>
      </c>
      <c r="D132" s="4" t="s">
        <v>260</v>
      </c>
      <c r="E132" s="6" t="s">
        <v>85</v>
      </c>
      <c r="F132" s="10">
        <v>1</v>
      </c>
      <c r="G132" s="7">
        <v>50</v>
      </c>
      <c r="H132" s="7">
        <v>50</v>
      </c>
      <c r="I132" s="1" t="str">
        <f>HYPERLINK("http://slimages.macys.com/is/image/MCY/9244734 ")</f>
        <v xml:space="preserve">http://slimages.macys.com/is/image/MCY/9244734 </v>
      </c>
    </row>
    <row r="133" spans="1:9" x14ac:dyDescent="0.2">
      <c r="A133" s="3">
        <v>11287223</v>
      </c>
      <c r="B133" s="3">
        <v>190231083306</v>
      </c>
      <c r="C133" s="5" t="s">
        <v>261</v>
      </c>
      <c r="D133" s="4" t="s">
        <v>262</v>
      </c>
      <c r="E133" s="6" t="s">
        <v>85</v>
      </c>
      <c r="F133" s="10">
        <v>1</v>
      </c>
      <c r="G133" s="7">
        <v>50</v>
      </c>
      <c r="H133" s="7">
        <v>50</v>
      </c>
      <c r="I133" s="1" t="str">
        <f>HYPERLINK("http://slimages.macys.com/is/image/MCY/8413871 ")</f>
        <v xml:space="preserve">http://slimages.macys.com/is/image/MCY/8413871 </v>
      </c>
    </row>
    <row r="134" spans="1:9" x14ac:dyDescent="0.2">
      <c r="A134" s="3">
        <v>11287223</v>
      </c>
      <c r="B134" s="3">
        <v>706257706824</v>
      </c>
      <c r="C134" s="5" t="s">
        <v>263</v>
      </c>
      <c r="D134" s="4" t="s">
        <v>155</v>
      </c>
      <c r="E134" s="6" t="s">
        <v>85</v>
      </c>
      <c r="F134" s="10">
        <v>1</v>
      </c>
      <c r="G134" s="7">
        <v>49.5</v>
      </c>
      <c r="H134" s="7">
        <v>49.5</v>
      </c>
      <c r="I134" s="1" t="str">
        <f>HYPERLINK("http://slimages.macys.com/is/image/MCY/8216063 ")</f>
        <v xml:space="preserve">http://slimages.macys.com/is/image/MCY/8216063 </v>
      </c>
    </row>
    <row r="135" spans="1:9" x14ac:dyDescent="0.2">
      <c r="A135" s="3">
        <v>11287223</v>
      </c>
      <c r="B135" s="3">
        <v>191935091215</v>
      </c>
      <c r="C135" s="5" t="s">
        <v>264</v>
      </c>
      <c r="D135" s="4" t="s">
        <v>158</v>
      </c>
      <c r="E135" s="6" t="s">
        <v>82</v>
      </c>
      <c r="F135" s="10">
        <v>1</v>
      </c>
      <c r="G135" s="7">
        <v>48</v>
      </c>
      <c r="H135" s="7">
        <v>48</v>
      </c>
      <c r="I135" s="1" t="str">
        <f>HYPERLINK("http://slimages.macys.com/is/image/MCY/9042375 ")</f>
        <v xml:space="preserve">http://slimages.macys.com/is/image/MCY/9042375 </v>
      </c>
    </row>
    <row r="136" spans="1:9" x14ac:dyDescent="0.2">
      <c r="A136" s="3">
        <v>11287223</v>
      </c>
      <c r="B136" s="3">
        <v>745021066429</v>
      </c>
      <c r="C136" s="5" t="s">
        <v>265</v>
      </c>
      <c r="D136" s="4" t="s">
        <v>81</v>
      </c>
      <c r="E136" s="6" t="s">
        <v>85</v>
      </c>
      <c r="F136" s="10">
        <v>1</v>
      </c>
      <c r="G136" s="7">
        <v>45.89</v>
      </c>
      <c r="H136" s="7">
        <v>45.89</v>
      </c>
      <c r="I136" s="1" t="str">
        <f>HYPERLINK("http://slimages.macys.com/is/image/MCY/9612634 ")</f>
        <v xml:space="preserve">http://slimages.macys.com/is/image/MCY/9612634 </v>
      </c>
    </row>
    <row r="137" spans="1:9" x14ac:dyDescent="0.2">
      <c r="A137" s="3">
        <v>11287223</v>
      </c>
      <c r="B137" s="3">
        <v>740348969965</v>
      </c>
      <c r="C137" s="5" t="s">
        <v>266</v>
      </c>
      <c r="D137" s="4" t="s">
        <v>135</v>
      </c>
      <c r="E137" s="6" t="s">
        <v>85</v>
      </c>
      <c r="F137" s="10">
        <v>1</v>
      </c>
      <c r="G137" s="7">
        <v>45.89</v>
      </c>
      <c r="H137" s="7">
        <v>45.89</v>
      </c>
      <c r="I137" s="1" t="str">
        <f>HYPERLINK("http://slimages.macys.com/is/image/MCY/9336704 ")</f>
        <v xml:space="preserve">http://slimages.macys.com/is/image/MCY/9336704 </v>
      </c>
    </row>
    <row r="138" spans="1:9" x14ac:dyDescent="0.2">
      <c r="A138" s="3">
        <v>11287223</v>
      </c>
      <c r="B138" s="3">
        <v>98687160643</v>
      </c>
      <c r="C138" s="5" t="s">
        <v>267</v>
      </c>
      <c r="D138" s="4" t="s">
        <v>91</v>
      </c>
      <c r="E138" s="6" t="s">
        <v>85</v>
      </c>
      <c r="F138" s="10">
        <v>1</v>
      </c>
      <c r="G138" s="7">
        <v>45</v>
      </c>
      <c r="H138" s="7">
        <v>45</v>
      </c>
      <c r="I138" s="1" t="str">
        <f>HYPERLINK("http://slimages.macys.com/is/image/MCY/8791653 ")</f>
        <v xml:space="preserve">http://slimages.macys.com/is/image/MCY/8791653 </v>
      </c>
    </row>
    <row r="139" spans="1:9" x14ac:dyDescent="0.2">
      <c r="A139" s="3">
        <v>11287223</v>
      </c>
      <c r="B139" s="3">
        <v>98687161725</v>
      </c>
      <c r="C139" s="5" t="s">
        <v>268</v>
      </c>
      <c r="D139" s="4"/>
      <c r="E139" s="6" t="s">
        <v>85</v>
      </c>
      <c r="F139" s="10">
        <v>1</v>
      </c>
      <c r="G139" s="7">
        <v>45</v>
      </c>
      <c r="H139" s="7">
        <v>45</v>
      </c>
      <c r="I139" s="1" t="str">
        <f>HYPERLINK("http://slimages.macys.com/is/image/MCY/8830255 ")</f>
        <v xml:space="preserve">http://slimages.macys.com/is/image/MCY/8830255 </v>
      </c>
    </row>
    <row r="140" spans="1:9" x14ac:dyDescent="0.2">
      <c r="A140" s="3">
        <v>11287223</v>
      </c>
      <c r="B140" s="3">
        <v>882256371406</v>
      </c>
      <c r="C140" s="5" t="s">
        <v>269</v>
      </c>
      <c r="D140" s="4" t="s">
        <v>175</v>
      </c>
      <c r="E140" s="6" t="s">
        <v>85</v>
      </c>
      <c r="F140" s="10">
        <v>1</v>
      </c>
      <c r="G140" s="7">
        <v>42</v>
      </c>
      <c r="H140" s="7">
        <v>42</v>
      </c>
      <c r="I140" s="1" t="str">
        <f>HYPERLINK("http://slimages.macys.com/is/image/MCY/9391040 ")</f>
        <v xml:space="preserve">http://slimages.macys.com/is/image/MCY/9391040 </v>
      </c>
    </row>
    <row r="141" spans="1:9" x14ac:dyDescent="0.2">
      <c r="A141" s="3">
        <v>11287223</v>
      </c>
      <c r="B141" s="3">
        <v>191202621657</v>
      </c>
      <c r="C141" s="5" t="s">
        <v>270</v>
      </c>
      <c r="D141" s="4" t="s">
        <v>103</v>
      </c>
      <c r="E141" s="6" t="s">
        <v>82</v>
      </c>
      <c r="F141" s="10">
        <v>1</v>
      </c>
      <c r="G141" s="7">
        <v>40</v>
      </c>
      <c r="H141" s="7">
        <v>40</v>
      </c>
      <c r="I141" s="1" t="str">
        <f>HYPERLINK("http://slimages.macys.com/is/image/MCY/9416286 ")</f>
        <v xml:space="preserve">http://slimages.macys.com/is/image/MCY/9416286 </v>
      </c>
    </row>
    <row r="142" spans="1:9" x14ac:dyDescent="0.2">
      <c r="A142" s="3">
        <v>11287223</v>
      </c>
      <c r="B142" s="3">
        <v>98687160636</v>
      </c>
      <c r="C142" s="5" t="s">
        <v>271</v>
      </c>
      <c r="D142" s="4" t="s">
        <v>91</v>
      </c>
      <c r="E142" s="6" t="s">
        <v>85</v>
      </c>
      <c r="F142" s="10">
        <v>1</v>
      </c>
      <c r="G142" s="7">
        <v>40</v>
      </c>
      <c r="H142" s="7">
        <v>40</v>
      </c>
      <c r="I142" s="1" t="str">
        <f>HYPERLINK("http://slimages.macys.com/is/image/MCY/8791624 ")</f>
        <v xml:space="preserve">http://slimages.macys.com/is/image/MCY/8791624 </v>
      </c>
    </row>
    <row r="143" spans="1:9" x14ac:dyDescent="0.2">
      <c r="A143" s="3">
        <v>11287223</v>
      </c>
      <c r="B143" s="3">
        <v>98687161718</v>
      </c>
      <c r="C143" s="5" t="s">
        <v>272</v>
      </c>
      <c r="D143" s="4"/>
      <c r="E143" s="6" t="s">
        <v>85</v>
      </c>
      <c r="F143" s="10">
        <v>2</v>
      </c>
      <c r="G143" s="7">
        <v>40</v>
      </c>
      <c r="H143" s="7">
        <v>80</v>
      </c>
      <c r="I143" s="1" t="str">
        <f>HYPERLINK("http://slimages.macys.com/is/image/MCY/8831102 ")</f>
        <v xml:space="preserve">http://slimages.macys.com/is/image/MCY/8831102 </v>
      </c>
    </row>
    <row r="144" spans="1:9" x14ac:dyDescent="0.2">
      <c r="A144" s="3">
        <v>11287223</v>
      </c>
      <c r="B144" s="3">
        <v>98687160452</v>
      </c>
      <c r="C144" s="5" t="s">
        <v>273</v>
      </c>
      <c r="D144" s="4" t="s">
        <v>274</v>
      </c>
      <c r="E144" s="6" t="s">
        <v>85</v>
      </c>
      <c r="F144" s="10">
        <v>1</v>
      </c>
      <c r="G144" s="7">
        <v>40</v>
      </c>
      <c r="H144" s="7">
        <v>40</v>
      </c>
      <c r="I144" s="1" t="str">
        <f>HYPERLINK("http://slimages.macys.com/is/image/MCY/9030393 ")</f>
        <v xml:space="preserve">http://slimages.macys.com/is/image/MCY/9030393 </v>
      </c>
    </row>
    <row r="145" spans="1:9" x14ac:dyDescent="0.2">
      <c r="A145" s="3">
        <v>11287223</v>
      </c>
      <c r="B145" s="3">
        <v>77979516474</v>
      </c>
      <c r="C145" s="5" t="s">
        <v>275</v>
      </c>
      <c r="D145" s="4" t="s">
        <v>155</v>
      </c>
      <c r="E145" s="6" t="s">
        <v>85</v>
      </c>
      <c r="F145" s="10">
        <v>1</v>
      </c>
      <c r="G145" s="7">
        <v>38.1</v>
      </c>
      <c r="H145" s="7">
        <v>38.1</v>
      </c>
      <c r="I145" s="1" t="str">
        <f>HYPERLINK("http://slimages.macys.com/is/image/MCY/8091523 ")</f>
        <v xml:space="preserve">http://slimages.macys.com/is/image/MCY/8091523 </v>
      </c>
    </row>
    <row r="146" spans="1:9" x14ac:dyDescent="0.2">
      <c r="A146" s="3">
        <v>11287223</v>
      </c>
      <c r="B146" s="3">
        <v>77979867293</v>
      </c>
      <c r="C146" s="5" t="s">
        <v>276</v>
      </c>
      <c r="D146" s="4" t="s">
        <v>238</v>
      </c>
      <c r="E146" s="6" t="s">
        <v>82</v>
      </c>
      <c r="F146" s="10">
        <v>1</v>
      </c>
      <c r="G146" s="7">
        <v>38.1</v>
      </c>
      <c r="H146" s="7">
        <v>38.1</v>
      </c>
      <c r="I146" s="1" t="str">
        <f>HYPERLINK("http://slimages.macys.com/is/image/MCY/9489069 ")</f>
        <v xml:space="preserve">http://slimages.macys.com/is/image/MCY/9489069 </v>
      </c>
    </row>
    <row r="147" spans="1:9" x14ac:dyDescent="0.2">
      <c r="A147" s="3">
        <v>11287223</v>
      </c>
      <c r="B147" s="3">
        <v>745021258206</v>
      </c>
      <c r="C147" s="5" t="s">
        <v>277</v>
      </c>
      <c r="D147" s="4" t="s">
        <v>81</v>
      </c>
      <c r="E147" s="6" t="s">
        <v>85</v>
      </c>
      <c r="F147" s="10">
        <v>1</v>
      </c>
      <c r="G147" s="7">
        <v>35</v>
      </c>
      <c r="H147" s="7">
        <v>35</v>
      </c>
      <c r="I147" s="1" t="str">
        <f>HYPERLINK("http://slimages.macys.com/is/image/MCY/9652303 ")</f>
        <v xml:space="preserve">http://slimages.macys.com/is/image/MCY/9652303 </v>
      </c>
    </row>
    <row r="148" spans="1:9" x14ac:dyDescent="0.2">
      <c r="A148" s="3">
        <v>11287223</v>
      </c>
      <c r="B148" s="3">
        <v>740348981134</v>
      </c>
      <c r="C148" s="5" t="s">
        <v>278</v>
      </c>
      <c r="D148" s="4" t="s">
        <v>279</v>
      </c>
      <c r="E148" s="6" t="s">
        <v>85</v>
      </c>
      <c r="F148" s="10">
        <v>1</v>
      </c>
      <c r="G148" s="7">
        <v>35</v>
      </c>
      <c r="H148" s="7">
        <v>35</v>
      </c>
      <c r="I148" s="1" t="str">
        <f>HYPERLINK("http://slimages.macys.com/is/image/MCY/9206710 ")</f>
        <v xml:space="preserve">http://slimages.macys.com/is/image/MCY/9206710 </v>
      </c>
    </row>
    <row r="149" spans="1:9" x14ac:dyDescent="0.2">
      <c r="A149" s="3">
        <v>11287223</v>
      </c>
      <c r="B149" s="3">
        <v>882256371840</v>
      </c>
      <c r="C149" s="5" t="s">
        <v>280</v>
      </c>
      <c r="D149" s="4" t="s">
        <v>175</v>
      </c>
      <c r="E149" s="6" t="s">
        <v>85</v>
      </c>
      <c r="F149" s="10">
        <v>1</v>
      </c>
      <c r="G149" s="7">
        <v>34</v>
      </c>
      <c r="H149" s="7">
        <v>34</v>
      </c>
      <c r="I149" s="1" t="str">
        <f>HYPERLINK("http://slimages.macys.com/is/image/MCY/9488681 ")</f>
        <v xml:space="preserve">http://slimages.macys.com/is/image/MCY/9488681 </v>
      </c>
    </row>
    <row r="150" spans="1:9" x14ac:dyDescent="0.2">
      <c r="A150" s="3">
        <v>11287223</v>
      </c>
      <c r="B150" s="3">
        <v>77979516566</v>
      </c>
      <c r="C150" s="5" t="s">
        <v>281</v>
      </c>
      <c r="D150" s="4" t="s">
        <v>81</v>
      </c>
      <c r="E150" s="6" t="s">
        <v>85</v>
      </c>
      <c r="F150" s="10">
        <v>1</v>
      </c>
      <c r="G150" s="7">
        <v>32.1</v>
      </c>
      <c r="H150" s="7">
        <v>32.1</v>
      </c>
      <c r="I150" s="1" t="str">
        <f>HYPERLINK("http://slimages.macys.com/is/image/MCY/8997364 ")</f>
        <v xml:space="preserve">http://slimages.macys.com/is/image/MCY/8997364 </v>
      </c>
    </row>
    <row r="151" spans="1:9" x14ac:dyDescent="0.2">
      <c r="A151" s="3">
        <v>11287223</v>
      </c>
      <c r="B151" s="3">
        <v>191202228344</v>
      </c>
      <c r="C151" s="5" t="s">
        <v>282</v>
      </c>
      <c r="D151" s="4" t="s">
        <v>175</v>
      </c>
      <c r="E151" s="6" t="s">
        <v>82</v>
      </c>
      <c r="F151" s="10">
        <v>1</v>
      </c>
      <c r="G151" s="7">
        <v>30</v>
      </c>
      <c r="H151" s="7">
        <v>30</v>
      </c>
      <c r="I151" s="1" t="str">
        <f>HYPERLINK("http://slimages.macys.com/is/image/MCY/9062144 ")</f>
        <v xml:space="preserve">http://slimages.macys.com/is/image/MCY/9062144 </v>
      </c>
    </row>
    <row r="152" spans="1:9" x14ac:dyDescent="0.2">
      <c r="A152" s="3">
        <v>11287223</v>
      </c>
      <c r="B152" s="3">
        <v>19845260197</v>
      </c>
      <c r="C152" s="5" t="s">
        <v>283</v>
      </c>
      <c r="D152" s="4" t="s">
        <v>284</v>
      </c>
      <c r="E152" s="6" t="s">
        <v>85</v>
      </c>
      <c r="F152" s="10">
        <v>1</v>
      </c>
      <c r="G152" s="7">
        <v>27.22</v>
      </c>
      <c r="H152" s="7">
        <v>27.22</v>
      </c>
      <c r="I152" s="1" t="str">
        <f>HYPERLINK("http://slimages.macys.com/is/image/MCY/8554187 ")</f>
        <v xml:space="preserve">http://slimages.macys.com/is/image/MCY/8554187 </v>
      </c>
    </row>
    <row r="153" spans="1:9" x14ac:dyDescent="0.2">
      <c r="A153" s="3">
        <v>11287223</v>
      </c>
      <c r="B153" s="3">
        <v>711372758764</v>
      </c>
      <c r="C153" s="5" t="s">
        <v>285</v>
      </c>
      <c r="D153" s="4" t="s">
        <v>81</v>
      </c>
      <c r="E153" s="6" t="s">
        <v>85</v>
      </c>
      <c r="F153" s="10">
        <v>1</v>
      </c>
      <c r="G153" s="7">
        <v>19.989999999999998</v>
      </c>
      <c r="H153" s="7">
        <v>19.989999999999998</v>
      </c>
      <c r="I153" s="1" t="str">
        <f>HYPERLINK("http://slimages.macys.com/is/image/MCY/8315705 ")</f>
        <v xml:space="preserve">http://slimages.macys.com/is/image/MCY/8315705 </v>
      </c>
    </row>
    <row r="154" spans="1:9" x14ac:dyDescent="0.2">
      <c r="A154" s="3">
        <v>11287223</v>
      </c>
      <c r="B154" s="3">
        <v>887986088884</v>
      </c>
      <c r="C154" s="5" t="s">
        <v>286</v>
      </c>
      <c r="D154" s="4" t="s">
        <v>287</v>
      </c>
      <c r="E154" s="6" t="s">
        <v>85</v>
      </c>
      <c r="F154" s="10">
        <v>1</v>
      </c>
      <c r="G154" s="7">
        <v>19</v>
      </c>
      <c r="H154" s="7">
        <v>19</v>
      </c>
      <c r="I154" s="1" t="str">
        <f>HYPERLINK("http://slimages.macys.com/is/image/MCY/8726870 ")</f>
        <v xml:space="preserve">http://slimages.macys.com/is/image/MCY/8726870 </v>
      </c>
    </row>
    <row r="155" spans="1:9" x14ac:dyDescent="0.2">
      <c r="A155" s="3">
        <v>11287223</v>
      </c>
      <c r="B155" s="3">
        <v>886003492482</v>
      </c>
      <c r="C155" s="5" t="s">
        <v>288</v>
      </c>
      <c r="D155" s="4" t="s">
        <v>289</v>
      </c>
      <c r="E155" s="6" t="s">
        <v>82</v>
      </c>
      <c r="F155" s="10">
        <v>3</v>
      </c>
      <c r="G155" s="7">
        <v>18</v>
      </c>
      <c r="H155" s="7">
        <v>54</v>
      </c>
      <c r="I155" s="1" t="str">
        <f>HYPERLINK("http://slimages.macys.com/is/image/MCY/8768846 ")</f>
        <v xml:space="preserve">http://slimages.macys.com/is/image/MCY/8768846 </v>
      </c>
    </row>
    <row r="156" spans="1:9" x14ac:dyDescent="0.2">
      <c r="A156" s="3">
        <v>11287223</v>
      </c>
      <c r="B156" s="3">
        <v>5025546388752</v>
      </c>
      <c r="C156" s="5" t="s">
        <v>290</v>
      </c>
      <c r="D156" s="4" t="s">
        <v>81</v>
      </c>
      <c r="E156" s="6" t="s">
        <v>291</v>
      </c>
      <c r="F156" s="10">
        <v>1</v>
      </c>
      <c r="G156" s="7">
        <v>10</v>
      </c>
      <c r="H156" s="7">
        <v>10</v>
      </c>
      <c r="I156" s="1"/>
    </row>
    <row r="157" spans="1:9" x14ac:dyDescent="0.2">
      <c r="A157" s="3">
        <v>11288570</v>
      </c>
      <c r="B157" s="3">
        <v>889532528837</v>
      </c>
      <c r="C157" s="5" t="s">
        <v>292</v>
      </c>
      <c r="D157" s="4" t="s">
        <v>94</v>
      </c>
      <c r="E157" s="6" t="s">
        <v>82</v>
      </c>
      <c r="F157" s="10">
        <v>1</v>
      </c>
      <c r="G157" s="7">
        <v>650</v>
      </c>
      <c r="H157" s="7">
        <v>650</v>
      </c>
      <c r="I157" s="1"/>
    </row>
    <row r="158" spans="1:9" x14ac:dyDescent="0.2">
      <c r="A158" s="3">
        <v>11288570</v>
      </c>
      <c r="B158" s="3">
        <v>191935686428</v>
      </c>
      <c r="C158" s="5" t="s">
        <v>293</v>
      </c>
      <c r="D158" s="4" t="s">
        <v>81</v>
      </c>
      <c r="E158" s="6" t="s">
        <v>82</v>
      </c>
      <c r="F158" s="10">
        <v>1</v>
      </c>
      <c r="G158" s="7">
        <v>598</v>
      </c>
      <c r="H158" s="7">
        <v>598</v>
      </c>
      <c r="I158" s="1" t="str">
        <f>HYPERLINK("http://slimages.macys.com/is/image/MCY/9682685 ")</f>
        <v xml:space="preserve">http://slimages.macys.com/is/image/MCY/9682685 </v>
      </c>
    </row>
    <row r="159" spans="1:9" x14ac:dyDescent="0.2">
      <c r="A159" s="3">
        <v>11288570</v>
      </c>
      <c r="B159" s="3">
        <v>191267327037</v>
      </c>
      <c r="C159" s="5" t="s">
        <v>294</v>
      </c>
      <c r="D159" s="4" t="s">
        <v>166</v>
      </c>
      <c r="E159" s="6" t="s">
        <v>85</v>
      </c>
      <c r="F159" s="10">
        <v>1</v>
      </c>
      <c r="G159" s="7">
        <v>495</v>
      </c>
      <c r="H159" s="7">
        <v>495</v>
      </c>
      <c r="I159" s="1" t="str">
        <f>HYPERLINK("http://images.bloomingdales.com/is/image/BLM/9552336 ")</f>
        <v xml:space="preserve">http://images.bloomingdales.com/is/image/BLM/9552336 </v>
      </c>
    </row>
    <row r="160" spans="1:9" x14ac:dyDescent="0.2">
      <c r="A160" s="3">
        <v>11288570</v>
      </c>
      <c r="B160" s="3">
        <v>192317865813</v>
      </c>
      <c r="C160" s="5" t="s">
        <v>295</v>
      </c>
      <c r="D160" s="4" t="s">
        <v>138</v>
      </c>
      <c r="E160" s="6" t="s">
        <v>82</v>
      </c>
      <c r="F160" s="10">
        <v>1</v>
      </c>
      <c r="G160" s="7">
        <v>448</v>
      </c>
      <c r="H160" s="7">
        <v>448</v>
      </c>
      <c r="I160" s="1" t="str">
        <f>HYPERLINK("http://slimages.macys.com/is/image/MCY/10000135 ")</f>
        <v xml:space="preserve">http://slimages.macys.com/is/image/MCY/10000135 </v>
      </c>
    </row>
    <row r="161" spans="1:9" x14ac:dyDescent="0.2">
      <c r="A161" s="3">
        <v>11288570</v>
      </c>
      <c r="B161" s="3">
        <v>889059726440</v>
      </c>
      <c r="C161" s="5" t="s">
        <v>296</v>
      </c>
      <c r="D161" s="4" t="s">
        <v>166</v>
      </c>
      <c r="E161" s="6" t="s">
        <v>82</v>
      </c>
      <c r="F161" s="10">
        <v>1</v>
      </c>
      <c r="G161" s="7">
        <v>398</v>
      </c>
      <c r="H161" s="7">
        <v>398</v>
      </c>
      <c r="I161" s="1" t="str">
        <f>HYPERLINK("http://images.bloomingdales.com/is/image/BLM/9779780 ")</f>
        <v xml:space="preserve">http://images.bloomingdales.com/is/image/BLM/9779780 </v>
      </c>
    </row>
    <row r="162" spans="1:9" x14ac:dyDescent="0.2">
      <c r="A162" s="3">
        <v>11288570</v>
      </c>
      <c r="B162" s="3">
        <v>191935683038</v>
      </c>
      <c r="C162" s="5" t="s">
        <v>297</v>
      </c>
      <c r="D162" s="4" t="s">
        <v>81</v>
      </c>
      <c r="E162" s="6" t="s">
        <v>82</v>
      </c>
      <c r="F162" s="10">
        <v>1</v>
      </c>
      <c r="G162" s="7">
        <v>398</v>
      </c>
      <c r="H162" s="7">
        <v>398</v>
      </c>
      <c r="I162" s="1" t="str">
        <f>HYPERLINK("http://slimages.macys.com/is/image/MCY/9366829 ")</f>
        <v xml:space="preserve">http://slimages.macys.com/is/image/MCY/9366829 </v>
      </c>
    </row>
    <row r="163" spans="1:9" x14ac:dyDescent="0.2">
      <c r="A163" s="3">
        <v>11288570</v>
      </c>
      <c r="B163" s="3">
        <v>191935693006</v>
      </c>
      <c r="C163" s="5" t="s">
        <v>90</v>
      </c>
      <c r="D163" s="4" t="s">
        <v>91</v>
      </c>
      <c r="E163" s="6" t="s">
        <v>82</v>
      </c>
      <c r="F163" s="10">
        <v>6</v>
      </c>
      <c r="G163" s="7">
        <v>358</v>
      </c>
      <c r="H163" s="7">
        <v>2148</v>
      </c>
      <c r="I163" s="1" t="str">
        <f>HYPERLINK("http://slimages.macys.com/is/image/MCY/9388732 ")</f>
        <v xml:space="preserve">http://slimages.macys.com/is/image/MCY/9388732 </v>
      </c>
    </row>
    <row r="164" spans="1:9" x14ac:dyDescent="0.2">
      <c r="A164" s="3">
        <v>11288570</v>
      </c>
      <c r="B164" s="3">
        <v>98687153799</v>
      </c>
      <c r="C164" s="5" t="s">
        <v>298</v>
      </c>
      <c r="D164" s="4" t="s">
        <v>81</v>
      </c>
      <c r="E164" s="6" t="s">
        <v>85</v>
      </c>
      <c r="F164" s="10">
        <v>1</v>
      </c>
      <c r="G164" s="7">
        <v>358</v>
      </c>
      <c r="H164" s="7">
        <v>358</v>
      </c>
      <c r="I164" s="1" t="str">
        <f>HYPERLINK("http://slimages.macys.com/is/image/MCY/8793852 ")</f>
        <v xml:space="preserve">http://slimages.macys.com/is/image/MCY/8793852 </v>
      </c>
    </row>
    <row r="165" spans="1:9" x14ac:dyDescent="0.2">
      <c r="A165" s="3">
        <v>11288570</v>
      </c>
      <c r="B165" s="3">
        <v>191202230729</v>
      </c>
      <c r="C165" s="5" t="s">
        <v>299</v>
      </c>
      <c r="D165" s="4" t="s">
        <v>135</v>
      </c>
      <c r="E165" s="6" t="s">
        <v>82</v>
      </c>
      <c r="F165" s="10">
        <v>1</v>
      </c>
      <c r="G165" s="7">
        <v>350</v>
      </c>
      <c r="H165" s="7">
        <v>350</v>
      </c>
      <c r="I165" s="1" t="str">
        <f>HYPERLINK("http://slimages.macys.com/is/image/MCY/9082205 ")</f>
        <v xml:space="preserve">http://slimages.macys.com/is/image/MCY/9082205 </v>
      </c>
    </row>
    <row r="166" spans="1:9" x14ac:dyDescent="0.2">
      <c r="A166" s="3">
        <v>11288570</v>
      </c>
      <c r="B166" s="3">
        <v>749034274239</v>
      </c>
      <c r="C166" s="5" t="s">
        <v>300</v>
      </c>
      <c r="D166" s="4"/>
      <c r="E166" s="6" t="s">
        <v>82</v>
      </c>
      <c r="F166" s="10">
        <v>1</v>
      </c>
      <c r="G166" s="7">
        <v>335</v>
      </c>
      <c r="H166" s="7">
        <v>335</v>
      </c>
      <c r="I166" s="1" t="str">
        <f>HYPERLINK("http://slimages.macys.com/is/image/MCY/9079499 ")</f>
        <v xml:space="preserve">http://slimages.macys.com/is/image/MCY/9079499 </v>
      </c>
    </row>
    <row r="167" spans="1:9" x14ac:dyDescent="0.2">
      <c r="A167" s="3">
        <v>11288570</v>
      </c>
      <c r="B167" s="3">
        <v>192317309447</v>
      </c>
      <c r="C167" s="5" t="s">
        <v>301</v>
      </c>
      <c r="D167" s="4" t="s">
        <v>100</v>
      </c>
      <c r="E167" s="6" t="s">
        <v>82</v>
      </c>
      <c r="F167" s="10">
        <v>1</v>
      </c>
      <c r="G167" s="7">
        <v>328</v>
      </c>
      <c r="H167" s="7">
        <v>328</v>
      </c>
      <c r="I167" s="1" t="str">
        <f>HYPERLINK("http://slimages.macys.com/is/image/MCY/9693568 ")</f>
        <v xml:space="preserve">http://slimages.macys.com/is/image/MCY/9693568 </v>
      </c>
    </row>
    <row r="168" spans="1:9" x14ac:dyDescent="0.2">
      <c r="A168" s="3">
        <v>11288570</v>
      </c>
      <c r="B168" s="3">
        <v>191935709585</v>
      </c>
      <c r="C168" s="5" t="s">
        <v>302</v>
      </c>
      <c r="D168" s="4" t="s">
        <v>109</v>
      </c>
      <c r="E168" s="6" t="s">
        <v>82</v>
      </c>
      <c r="F168" s="10">
        <v>1</v>
      </c>
      <c r="G168" s="7">
        <v>328</v>
      </c>
      <c r="H168" s="7">
        <v>328</v>
      </c>
      <c r="I168" s="1" t="str">
        <f>HYPERLINK("http://slimages.macys.com/is/image/MCY/9309147 ")</f>
        <v xml:space="preserve">http://slimages.macys.com/is/image/MCY/9309147 </v>
      </c>
    </row>
    <row r="169" spans="1:9" x14ac:dyDescent="0.2">
      <c r="A169" s="3">
        <v>11288570</v>
      </c>
      <c r="B169" s="3">
        <v>191202230903</v>
      </c>
      <c r="C169" s="5" t="s">
        <v>303</v>
      </c>
      <c r="D169" s="4" t="s">
        <v>166</v>
      </c>
      <c r="E169" s="6" t="s">
        <v>82</v>
      </c>
      <c r="F169" s="10">
        <v>1</v>
      </c>
      <c r="G169" s="7">
        <v>325</v>
      </c>
      <c r="H169" s="7">
        <v>325</v>
      </c>
      <c r="I169" s="1" t="str">
        <f>HYPERLINK("http://slimages.macys.com/is/image/MCY/8867317 ")</f>
        <v xml:space="preserve">http://slimages.macys.com/is/image/MCY/8867317 </v>
      </c>
    </row>
    <row r="170" spans="1:9" x14ac:dyDescent="0.2">
      <c r="A170" s="3">
        <v>11288570</v>
      </c>
      <c r="B170" s="3">
        <v>191267267098</v>
      </c>
      <c r="C170" s="5" t="s">
        <v>304</v>
      </c>
      <c r="D170" s="4" t="s">
        <v>107</v>
      </c>
      <c r="E170" s="6" t="s">
        <v>85</v>
      </c>
      <c r="F170" s="10">
        <v>1</v>
      </c>
      <c r="G170" s="7">
        <v>325</v>
      </c>
      <c r="H170" s="7">
        <v>325</v>
      </c>
      <c r="I170" s="1"/>
    </row>
    <row r="171" spans="1:9" x14ac:dyDescent="0.2">
      <c r="A171" s="3">
        <v>11288570</v>
      </c>
      <c r="B171" s="3">
        <v>192317310214</v>
      </c>
      <c r="C171" s="5" t="s">
        <v>305</v>
      </c>
      <c r="D171" s="4" t="s">
        <v>103</v>
      </c>
      <c r="E171" s="6" t="s">
        <v>82</v>
      </c>
      <c r="F171" s="10">
        <v>1</v>
      </c>
      <c r="G171" s="7">
        <v>298</v>
      </c>
      <c r="H171" s="7">
        <v>298</v>
      </c>
      <c r="I171" s="1" t="str">
        <f>HYPERLINK("http://slimages.macys.com/is/image/MCY/9661487 ")</f>
        <v xml:space="preserve">http://slimages.macys.com/is/image/MCY/9661487 </v>
      </c>
    </row>
    <row r="172" spans="1:9" x14ac:dyDescent="0.2">
      <c r="A172" s="3">
        <v>11288570</v>
      </c>
      <c r="B172" s="3">
        <v>191935679796</v>
      </c>
      <c r="C172" s="5" t="s">
        <v>306</v>
      </c>
      <c r="D172" s="4" t="s">
        <v>81</v>
      </c>
      <c r="E172" s="6" t="s">
        <v>82</v>
      </c>
      <c r="F172" s="10">
        <v>1</v>
      </c>
      <c r="G172" s="7">
        <v>298</v>
      </c>
      <c r="H172" s="7">
        <v>298</v>
      </c>
      <c r="I172" s="1" t="str">
        <f>HYPERLINK("http://slimages.macys.com/is/image/MCY/9353291 ")</f>
        <v xml:space="preserve">http://slimages.macys.com/is/image/MCY/9353291 </v>
      </c>
    </row>
    <row r="173" spans="1:9" x14ac:dyDescent="0.2">
      <c r="A173" s="3">
        <v>11288570</v>
      </c>
      <c r="B173" s="3">
        <v>191935077349</v>
      </c>
      <c r="C173" s="5" t="s">
        <v>307</v>
      </c>
      <c r="D173" s="4" t="s">
        <v>148</v>
      </c>
      <c r="E173" s="6" t="s">
        <v>82</v>
      </c>
      <c r="F173" s="10">
        <v>1</v>
      </c>
      <c r="G173" s="7">
        <v>298</v>
      </c>
      <c r="H173" s="7">
        <v>298</v>
      </c>
      <c r="I173" s="1" t="str">
        <f>HYPERLINK("http://slimages.macys.com/is/image/MCY/9104525 ")</f>
        <v xml:space="preserve">http://slimages.macys.com/is/image/MCY/9104525 </v>
      </c>
    </row>
    <row r="174" spans="1:9" x14ac:dyDescent="0.2">
      <c r="A174" s="3">
        <v>11288570</v>
      </c>
      <c r="B174" s="3">
        <v>191935678560</v>
      </c>
      <c r="C174" s="5" t="s">
        <v>308</v>
      </c>
      <c r="D174" s="4" t="s">
        <v>223</v>
      </c>
      <c r="E174" s="6" t="s">
        <v>82</v>
      </c>
      <c r="F174" s="10">
        <v>1</v>
      </c>
      <c r="G174" s="7">
        <v>298</v>
      </c>
      <c r="H174" s="7">
        <v>298</v>
      </c>
      <c r="I174" s="1" t="str">
        <f>HYPERLINK("http://slimages.macys.com/is/image/MCY/9756119 ")</f>
        <v xml:space="preserve">http://slimages.macys.com/is/image/MCY/9756119 </v>
      </c>
    </row>
    <row r="175" spans="1:9" x14ac:dyDescent="0.2">
      <c r="A175" s="3">
        <v>11288570</v>
      </c>
      <c r="B175" s="3">
        <v>191935074577</v>
      </c>
      <c r="C175" s="5" t="s">
        <v>120</v>
      </c>
      <c r="D175" s="4" t="s">
        <v>81</v>
      </c>
      <c r="E175" s="6" t="s">
        <v>82</v>
      </c>
      <c r="F175" s="10">
        <v>1</v>
      </c>
      <c r="G175" s="7">
        <v>298</v>
      </c>
      <c r="H175" s="7">
        <v>298</v>
      </c>
      <c r="I175" s="1" t="str">
        <f>HYPERLINK("http://slimages.macys.com/is/image/MCY/9150392 ")</f>
        <v xml:space="preserve">http://slimages.macys.com/is/image/MCY/9150392 </v>
      </c>
    </row>
    <row r="176" spans="1:9" x14ac:dyDescent="0.2">
      <c r="A176" s="3">
        <v>11288570</v>
      </c>
      <c r="B176" s="3">
        <v>5025546384556</v>
      </c>
      <c r="C176" s="5" t="s">
        <v>309</v>
      </c>
      <c r="D176" s="4" t="s">
        <v>81</v>
      </c>
      <c r="E176" s="6" t="s">
        <v>118</v>
      </c>
      <c r="F176" s="10">
        <v>2</v>
      </c>
      <c r="G176" s="7">
        <v>295</v>
      </c>
      <c r="H176" s="7">
        <v>590</v>
      </c>
      <c r="I176" s="1" t="str">
        <f>HYPERLINK("http://slimages.macys.com/is/image/MCY/9045847 ")</f>
        <v xml:space="preserve">http://slimages.macys.com/is/image/MCY/9045847 </v>
      </c>
    </row>
    <row r="177" spans="1:9" x14ac:dyDescent="0.2">
      <c r="A177" s="3">
        <v>11288570</v>
      </c>
      <c r="B177" s="3">
        <v>191935681812</v>
      </c>
      <c r="C177" s="5" t="s">
        <v>310</v>
      </c>
      <c r="D177" s="4" t="s">
        <v>91</v>
      </c>
      <c r="E177" s="6" t="s">
        <v>82</v>
      </c>
      <c r="F177" s="10">
        <v>1</v>
      </c>
      <c r="G177" s="7">
        <v>278</v>
      </c>
      <c r="H177" s="7">
        <v>278</v>
      </c>
      <c r="I177" s="1" t="str">
        <f>HYPERLINK("http://slimages.macys.com/is/image/MCY/9464036 ")</f>
        <v xml:space="preserve">http://slimages.macys.com/is/image/MCY/9464036 </v>
      </c>
    </row>
    <row r="178" spans="1:9" x14ac:dyDescent="0.2">
      <c r="A178" s="3">
        <v>11288570</v>
      </c>
      <c r="B178" s="3">
        <v>5025546367238</v>
      </c>
      <c r="C178" s="5" t="s">
        <v>311</v>
      </c>
      <c r="D178" s="4" t="s">
        <v>129</v>
      </c>
      <c r="E178" s="6" t="s">
        <v>118</v>
      </c>
      <c r="F178" s="10">
        <v>2</v>
      </c>
      <c r="G178" s="7">
        <v>275</v>
      </c>
      <c r="H178" s="7">
        <v>550</v>
      </c>
      <c r="I178" s="1" t="str">
        <f>HYPERLINK("http://slimages.macys.com/is/image/MCY/8732717 ")</f>
        <v xml:space="preserve">http://slimages.macys.com/is/image/MCY/8732717 </v>
      </c>
    </row>
    <row r="179" spans="1:9" x14ac:dyDescent="0.2">
      <c r="A179" s="3">
        <v>11288570</v>
      </c>
      <c r="B179" s="3">
        <v>749034275502</v>
      </c>
      <c r="C179" s="5" t="s">
        <v>312</v>
      </c>
      <c r="D179" s="4" t="s">
        <v>81</v>
      </c>
      <c r="E179" s="6" t="s">
        <v>82</v>
      </c>
      <c r="F179" s="10">
        <v>1</v>
      </c>
      <c r="G179" s="7">
        <v>275</v>
      </c>
      <c r="H179" s="7">
        <v>275</v>
      </c>
      <c r="I179" s="1" t="str">
        <f>HYPERLINK("http://slimages.macys.com/is/image/MCY/10079937 ")</f>
        <v xml:space="preserve">http://slimages.macys.com/is/image/MCY/10079937 </v>
      </c>
    </row>
    <row r="180" spans="1:9" x14ac:dyDescent="0.2">
      <c r="A180" s="3">
        <v>11288570</v>
      </c>
      <c r="B180" s="3">
        <v>887986086217</v>
      </c>
      <c r="C180" s="5" t="s">
        <v>313</v>
      </c>
      <c r="D180" s="4" t="s">
        <v>314</v>
      </c>
      <c r="E180" s="6" t="s">
        <v>85</v>
      </c>
      <c r="F180" s="10">
        <v>1</v>
      </c>
      <c r="G180" s="7">
        <v>249</v>
      </c>
      <c r="H180" s="7">
        <v>249</v>
      </c>
      <c r="I180" s="1" t="str">
        <f>HYPERLINK("http://slimages.macys.com/is/image/MCY/8837135 ")</f>
        <v xml:space="preserve">http://slimages.macys.com/is/image/MCY/8837135 </v>
      </c>
    </row>
    <row r="181" spans="1:9" x14ac:dyDescent="0.2">
      <c r="A181" s="3">
        <v>11288570</v>
      </c>
      <c r="B181" s="3">
        <v>190049508251</v>
      </c>
      <c r="C181" s="5" t="s">
        <v>315</v>
      </c>
      <c r="D181" s="4" t="s">
        <v>316</v>
      </c>
      <c r="E181" s="6" t="s">
        <v>82</v>
      </c>
      <c r="F181" s="10">
        <v>2</v>
      </c>
      <c r="G181" s="7">
        <v>248</v>
      </c>
      <c r="H181" s="7">
        <v>496</v>
      </c>
      <c r="I181" s="1" t="str">
        <f>HYPERLINK("http://slimages.macys.com/is/image/MCY/9282539 ")</f>
        <v xml:space="preserve">http://slimages.macys.com/is/image/MCY/9282539 </v>
      </c>
    </row>
    <row r="182" spans="1:9" x14ac:dyDescent="0.2">
      <c r="A182" s="3">
        <v>11288570</v>
      </c>
      <c r="B182" s="3">
        <v>191935071002</v>
      </c>
      <c r="C182" s="5" t="s">
        <v>317</v>
      </c>
      <c r="D182" s="4" t="s">
        <v>158</v>
      </c>
      <c r="E182" s="6" t="s">
        <v>82</v>
      </c>
      <c r="F182" s="10">
        <v>1</v>
      </c>
      <c r="G182" s="7">
        <v>248</v>
      </c>
      <c r="H182" s="7">
        <v>248</v>
      </c>
      <c r="I182" s="1" t="str">
        <f>HYPERLINK("http://slimages.macys.com/is/image/MCY/9282539 ")</f>
        <v xml:space="preserve">http://slimages.macys.com/is/image/MCY/9282539 </v>
      </c>
    </row>
    <row r="183" spans="1:9" x14ac:dyDescent="0.2">
      <c r="A183" s="3">
        <v>11288570</v>
      </c>
      <c r="B183" s="3">
        <v>191935083920</v>
      </c>
      <c r="C183" s="5" t="s">
        <v>318</v>
      </c>
      <c r="D183" s="4" t="s">
        <v>81</v>
      </c>
      <c r="E183" s="6" t="s">
        <v>82</v>
      </c>
      <c r="F183" s="10">
        <v>1</v>
      </c>
      <c r="G183" s="7">
        <v>248</v>
      </c>
      <c r="H183" s="7">
        <v>248</v>
      </c>
      <c r="I183" s="1" t="str">
        <f>HYPERLINK("http://slimages.macys.com/is/image/MCY/9024718 ")</f>
        <v xml:space="preserve">http://slimages.macys.com/is/image/MCY/9024718 </v>
      </c>
    </row>
    <row r="184" spans="1:9" x14ac:dyDescent="0.2">
      <c r="A184" s="3">
        <v>11288570</v>
      </c>
      <c r="B184" s="3">
        <v>190049425237</v>
      </c>
      <c r="C184" s="5" t="s">
        <v>319</v>
      </c>
      <c r="D184" s="4" t="s">
        <v>103</v>
      </c>
      <c r="E184" s="6" t="s">
        <v>82</v>
      </c>
      <c r="F184" s="10">
        <v>1</v>
      </c>
      <c r="G184" s="7">
        <v>248</v>
      </c>
      <c r="H184" s="7">
        <v>248</v>
      </c>
      <c r="I184" s="1" t="str">
        <f>HYPERLINK("http://slimages.macys.com/is/image/MCY/9282539 ")</f>
        <v xml:space="preserve">http://slimages.macys.com/is/image/MCY/9282539 </v>
      </c>
    </row>
    <row r="185" spans="1:9" x14ac:dyDescent="0.2">
      <c r="A185" s="3">
        <v>11288570</v>
      </c>
      <c r="B185" s="3">
        <v>885719105785</v>
      </c>
      <c r="C185" s="5" t="s">
        <v>320</v>
      </c>
      <c r="D185" s="4" t="s">
        <v>91</v>
      </c>
      <c r="E185" s="6" t="s">
        <v>85</v>
      </c>
      <c r="F185" s="10">
        <v>1</v>
      </c>
      <c r="G185" s="7">
        <v>248</v>
      </c>
      <c r="H185" s="7">
        <v>248</v>
      </c>
      <c r="I185" s="1" t="str">
        <f>HYPERLINK("http://slimages.macys.com/is/image/MCY/9017446 ")</f>
        <v xml:space="preserve">http://slimages.macys.com/is/image/MCY/9017446 </v>
      </c>
    </row>
    <row r="186" spans="1:9" x14ac:dyDescent="0.2">
      <c r="A186" s="3">
        <v>11288570</v>
      </c>
      <c r="B186" s="3">
        <v>802892715907</v>
      </c>
      <c r="C186" s="5" t="s">
        <v>321</v>
      </c>
      <c r="D186" s="4" t="s">
        <v>109</v>
      </c>
      <c r="E186" s="6" t="s">
        <v>85</v>
      </c>
      <c r="F186" s="10">
        <v>1</v>
      </c>
      <c r="G186" s="7">
        <v>248</v>
      </c>
      <c r="H186" s="7">
        <v>248</v>
      </c>
      <c r="I186" s="1" t="str">
        <f>HYPERLINK("http://slimages.macys.com/is/image/MCY/9033979 ")</f>
        <v xml:space="preserve">http://slimages.macys.com/is/image/MCY/9033979 </v>
      </c>
    </row>
    <row r="187" spans="1:9" x14ac:dyDescent="0.2">
      <c r="A187" s="3">
        <v>11288570</v>
      </c>
      <c r="B187" s="3">
        <v>192317325706</v>
      </c>
      <c r="C187" s="5" t="s">
        <v>322</v>
      </c>
      <c r="D187" s="4" t="s">
        <v>81</v>
      </c>
      <c r="E187" s="6" t="s">
        <v>82</v>
      </c>
      <c r="F187" s="10">
        <v>2</v>
      </c>
      <c r="G187" s="7">
        <v>228</v>
      </c>
      <c r="H187" s="7">
        <v>456</v>
      </c>
      <c r="I187" s="1" t="str">
        <f>HYPERLINK("http://slimages.macys.com/is/image/MCY/9711251 ")</f>
        <v xml:space="preserve">http://slimages.macys.com/is/image/MCY/9711251 </v>
      </c>
    </row>
    <row r="188" spans="1:9" x14ac:dyDescent="0.2">
      <c r="A188" s="3">
        <v>11288570</v>
      </c>
      <c r="B188" s="3">
        <v>191935677815</v>
      </c>
      <c r="C188" s="5" t="s">
        <v>323</v>
      </c>
      <c r="D188" s="4" t="s">
        <v>81</v>
      </c>
      <c r="E188" s="6" t="s">
        <v>82</v>
      </c>
      <c r="F188" s="10">
        <v>1</v>
      </c>
      <c r="G188" s="7">
        <v>228</v>
      </c>
      <c r="H188" s="7">
        <v>228</v>
      </c>
      <c r="I188" s="1" t="str">
        <f>HYPERLINK("http://slimages.macys.com/is/image/MCY/10045053 ")</f>
        <v xml:space="preserve">http://slimages.macys.com/is/image/MCY/10045053 </v>
      </c>
    </row>
    <row r="189" spans="1:9" x14ac:dyDescent="0.2">
      <c r="A189" s="3">
        <v>11288570</v>
      </c>
      <c r="B189" s="3">
        <v>191935677402</v>
      </c>
      <c r="C189" s="5" t="s">
        <v>324</v>
      </c>
      <c r="D189" s="4" t="s">
        <v>168</v>
      </c>
      <c r="E189" s="6" t="s">
        <v>82</v>
      </c>
      <c r="F189" s="10">
        <v>1</v>
      </c>
      <c r="G189" s="7">
        <v>228</v>
      </c>
      <c r="H189" s="7">
        <v>228</v>
      </c>
      <c r="I189" s="1" t="str">
        <f>HYPERLINK("http://slimages.macys.com/is/image/MCY/9366445 ")</f>
        <v xml:space="preserve">http://slimages.macys.com/is/image/MCY/9366445 </v>
      </c>
    </row>
    <row r="190" spans="1:9" x14ac:dyDescent="0.2">
      <c r="A190" s="3">
        <v>11288570</v>
      </c>
      <c r="B190" s="3">
        <v>191202219854</v>
      </c>
      <c r="C190" s="5" t="s">
        <v>325</v>
      </c>
      <c r="D190" s="4" t="s">
        <v>100</v>
      </c>
      <c r="E190" s="6" t="s">
        <v>82</v>
      </c>
      <c r="F190" s="10">
        <v>1</v>
      </c>
      <c r="G190" s="7">
        <v>225</v>
      </c>
      <c r="H190" s="7">
        <v>225</v>
      </c>
      <c r="I190" s="1" t="str">
        <f>HYPERLINK("http://slimages.macys.com/is/image/MCY/9161547 ")</f>
        <v xml:space="preserve">http://slimages.macys.com/is/image/MCY/9161547 </v>
      </c>
    </row>
    <row r="191" spans="1:9" x14ac:dyDescent="0.2">
      <c r="A191" s="3">
        <v>11288570</v>
      </c>
      <c r="B191" s="3">
        <v>191267426884</v>
      </c>
      <c r="C191" s="5" t="s">
        <v>326</v>
      </c>
      <c r="D191" s="4" t="s">
        <v>327</v>
      </c>
      <c r="E191" s="6" t="s">
        <v>85</v>
      </c>
      <c r="F191" s="10">
        <v>1</v>
      </c>
      <c r="G191" s="7">
        <v>225</v>
      </c>
      <c r="H191" s="7">
        <v>225</v>
      </c>
      <c r="I191" s="1"/>
    </row>
    <row r="192" spans="1:9" x14ac:dyDescent="0.2">
      <c r="A192" s="3">
        <v>11288570</v>
      </c>
      <c r="B192" s="3">
        <v>802892707988</v>
      </c>
      <c r="C192" s="5" t="s">
        <v>133</v>
      </c>
      <c r="D192" s="4" t="s">
        <v>87</v>
      </c>
      <c r="E192" s="6" t="s">
        <v>85</v>
      </c>
      <c r="F192" s="10">
        <v>1</v>
      </c>
      <c r="G192" s="7">
        <v>208</v>
      </c>
      <c r="H192" s="7">
        <v>208</v>
      </c>
      <c r="I192" s="1" t="str">
        <f>HYPERLINK("http://slimages.macys.com/is/image/MCY/9469835 ")</f>
        <v xml:space="preserve">http://slimages.macys.com/is/image/MCY/9469835 </v>
      </c>
    </row>
    <row r="193" spans="1:9" x14ac:dyDescent="0.2">
      <c r="A193" s="3">
        <v>11288570</v>
      </c>
      <c r="B193" s="3">
        <v>887986109770</v>
      </c>
      <c r="C193" s="5" t="s">
        <v>328</v>
      </c>
      <c r="D193" s="4" t="s">
        <v>184</v>
      </c>
      <c r="E193" s="6" t="s">
        <v>85</v>
      </c>
      <c r="F193" s="10">
        <v>1</v>
      </c>
      <c r="G193" s="7">
        <v>199</v>
      </c>
      <c r="H193" s="7">
        <v>199</v>
      </c>
      <c r="I193" s="1" t="str">
        <f>HYPERLINK("http://slimages.macys.com/is/image/MCY/9689033 ")</f>
        <v xml:space="preserve">http://slimages.macys.com/is/image/MCY/9689033 </v>
      </c>
    </row>
    <row r="194" spans="1:9" x14ac:dyDescent="0.2">
      <c r="A194" s="3">
        <v>11288570</v>
      </c>
      <c r="B194" s="3">
        <v>887986108032</v>
      </c>
      <c r="C194" s="5" t="s">
        <v>329</v>
      </c>
      <c r="D194" s="4" t="s">
        <v>81</v>
      </c>
      <c r="E194" s="6" t="s">
        <v>85</v>
      </c>
      <c r="F194" s="10">
        <v>2</v>
      </c>
      <c r="G194" s="7">
        <v>199</v>
      </c>
      <c r="H194" s="7">
        <v>398</v>
      </c>
      <c r="I194" s="1" t="str">
        <f>HYPERLINK("http://slimages.macys.com/is/image/MCY/9270912 ")</f>
        <v xml:space="preserve">http://slimages.macys.com/is/image/MCY/9270912 </v>
      </c>
    </row>
    <row r="195" spans="1:9" x14ac:dyDescent="0.2">
      <c r="A195" s="3">
        <v>11288570</v>
      </c>
      <c r="B195" s="3">
        <v>887986108001</v>
      </c>
      <c r="C195" s="5" t="s">
        <v>330</v>
      </c>
      <c r="D195" s="4" t="s">
        <v>81</v>
      </c>
      <c r="E195" s="6" t="s">
        <v>85</v>
      </c>
      <c r="F195" s="10">
        <v>1</v>
      </c>
      <c r="G195" s="7">
        <v>199</v>
      </c>
      <c r="H195" s="7">
        <v>199</v>
      </c>
      <c r="I195" s="1" t="str">
        <f>HYPERLINK("http://slimages.macys.com/is/image/MCY/9270290 ")</f>
        <v xml:space="preserve">http://slimages.macys.com/is/image/MCY/9270290 </v>
      </c>
    </row>
    <row r="196" spans="1:9" x14ac:dyDescent="0.2">
      <c r="A196" s="3">
        <v>11288570</v>
      </c>
      <c r="B196" s="3">
        <v>802892560910</v>
      </c>
      <c r="C196" s="5" t="s">
        <v>331</v>
      </c>
      <c r="D196" s="4" t="s">
        <v>153</v>
      </c>
      <c r="E196" s="6" t="s">
        <v>85</v>
      </c>
      <c r="F196" s="10">
        <v>1</v>
      </c>
      <c r="G196" s="7">
        <v>198</v>
      </c>
      <c r="H196" s="7">
        <v>198</v>
      </c>
      <c r="I196" s="1" t="str">
        <f>HYPERLINK("http://slimages.macys.com/is/image/MCY/9722483 ")</f>
        <v xml:space="preserve">http://slimages.macys.com/is/image/MCY/9722483 </v>
      </c>
    </row>
    <row r="197" spans="1:9" x14ac:dyDescent="0.2">
      <c r="A197" s="3">
        <v>11288570</v>
      </c>
      <c r="B197" s="3">
        <v>191797444877</v>
      </c>
      <c r="C197" s="5" t="s">
        <v>332</v>
      </c>
      <c r="D197" s="4" t="s">
        <v>81</v>
      </c>
      <c r="E197" s="6" t="s">
        <v>85</v>
      </c>
      <c r="F197" s="10">
        <v>1</v>
      </c>
      <c r="G197" s="7">
        <v>198</v>
      </c>
      <c r="H197" s="7">
        <v>198</v>
      </c>
      <c r="I197" s="1" t="str">
        <f>HYPERLINK("http://slimages.macys.com/is/image/MCY/9569826 ")</f>
        <v xml:space="preserve">http://slimages.macys.com/is/image/MCY/9569826 </v>
      </c>
    </row>
    <row r="198" spans="1:9" x14ac:dyDescent="0.2">
      <c r="A198" s="3">
        <v>11288570</v>
      </c>
      <c r="B198" s="3">
        <v>191202470316</v>
      </c>
      <c r="C198" s="5" t="s">
        <v>333</v>
      </c>
      <c r="D198" s="4" t="s">
        <v>98</v>
      </c>
      <c r="E198" s="6" t="s">
        <v>82</v>
      </c>
      <c r="F198" s="10">
        <v>1</v>
      </c>
      <c r="G198" s="7">
        <v>195</v>
      </c>
      <c r="H198" s="7">
        <v>195</v>
      </c>
      <c r="I198" s="1" t="str">
        <f>HYPERLINK("http://slimages.macys.com/is/image/MCY/9433480 ")</f>
        <v xml:space="preserve">http://slimages.macys.com/is/image/MCY/9433480 </v>
      </c>
    </row>
    <row r="199" spans="1:9" x14ac:dyDescent="0.2">
      <c r="A199" s="3">
        <v>11288570</v>
      </c>
      <c r="B199" s="3">
        <v>191797496999</v>
      </c>
      <c r="C199" s="5" t="s">
        <v>334</v>
      </c>
      <c r="D199" s="4" t="s">
        <v>98</v>
      </c>
      <c r="E199" s="6" t="s">
        <v>85</v>
      </c>
      <c r="F199" s="10">
        <v>2</v>
      </c>
      <c r="G199" s="7">
        <v>188</v>
      </c>
      <c r="H199" s="7">
        <v>376</v>
      </c>
      <c r="I199" s="1" t="str">
        <f>HYPERLINK("http://slimages.macys.com/is/image/MCY/9595511 ")</f>
        <v xml:space="preserve">http://slimages.macys.com/is/image/MCY/9595511 </v>
      </c>
    </row>
    <row r="200" spans="1:9" x14ac:dyDescent="0.2">
      <c r="A200" s="3">
        <v>11288570</v>
      </c>
      <c r="B200" s="3">
        <v>719220868962</v>
      </c>
      <c r="C200" s="5" t="s">
        <v>335</v>
      </c>
      <c r="D200" s="4"/>
      <c r="E200" s="6" t="s">
        <v>85</v>
      </c>
      <c r="F200" s="10">
        <v>1</v>
      </c>
      <c r="G200" s="7">
        <v>188</v>
      </c>
      <c r="H200" s="7">
        <v>188</v>
      </c>
      <c r="I200" s="1" t="str">
        <f>HYPERLINK("http://slimages.macys.com/is/image/MCY/8880256 ")</f>
        <v xml:space="preserve">http://slimages.macys.com/is/image/MCY/8880256 </v>
      </c>
    </row>
    <row r="201" spans="1:9" x14ac:dyDescent="0.2">
      <c r="A201" s="3">
        <v>11288570</v>
      </c>
      <c r="B201" s="3">
        <v>887986103020</v>
      </c>
      <c r="C201" s="5" t="s">
        <v>336</v>
      </c>
      <c r="D201" s="4" t="s">
        <v>84</v>
      </c>
      <c r="E201" s="6" t="s">
        <v>85</v>
      </c>
      <c r="F201" s="10">
        <v>1</v>
      </c>
      <c r="G201" s="7">
        <v>179</v>
      </c>
      <c r="H201" s="7">
        <v>179</v>
      </c>
      <c r="I201" s="1" t="str">
        <f>HYPERLINK("http://slimages.macys.com/is/image/MCY/9265887 ")</f>
        <v xml:space="preserve">http://slimages.macys.com/is/image/MCY/9265887 </v>
      </c>
    </row>
    <row r="202" spans="1:9" x14ac:dyDescent="0.2">
      <c r="A202" s="3">
        <v>11288570</v>
      </c>
      <c r="B202" s="3">
        <v>98687198806</v>
      </c>
      <c r="C202" s="5" t="s">
        <v>337</v>
      </c>
      <c r="D202" s="4" t="s">
        <v>279</v>
      </c>
      <c r="E202" s="6" t="s">
        <v>85</v>
      </c>
      <c r="F202" s="10">
        <v>1</v>
      </c>
      <c r="G202" s="7">
        <v>178</v>
      </c>
      <c r="H202" s="7">
        <v>178</v>
      </c>
      <c r="I202" s="1" t="str">
        <f>HYPERLINK("http://slimages.macys.com/is/image/MCY/9505757 ")</f>
        <v xml:space="preserve">http://slimages.macys.com/is/image/MCY/9505757 </v>
      </c>
    </row>
    <row r="203" spans="1:9" x14ac:dyDescent="0.2">
      <c r="A203" s="3">
        <v>11288570</v>
      </c>
      <c r="B203" s="3">
        <v>802892833694</v>
      </c>
      <c r="C203" s="5" t="s">
        <v>338</v>
      </c>
      <c r="D203" s="4" t="s">
        <v>87</v>
      </c>
      <c r="E203" s="6" t="s">
        <v>85</v>
      </c>
      <c r="F203" s="10">
        <v>1</v>
      </c>
      <c r="G203" s="7">
        <v>178</v>
      </c>
      <c r="H203" s="7">
        <v>178</v>
      </c>
      <c r="I203" s="1" t="str">
        <f>HYPERLINK("http://slimages.macys.com/is/image/MCY/9509656 ")</f>
        <v xml:space="preserve">http://slimages.macys.com/is/image/MCY/9509656 </v>
      </c>
    </row>
    <row r="204" spans="1:9" x14ac:dyDescent="0.2">
      <c r="A204" s="3">
        <v>11288570</v>
      </c>
      <c r="B204" s="3">
        <v>191202587380</v>
      </c>
      <c r="C204" s="5" t="s">
        <v>339</v>
      </c>
      <c r="D204" s="4" t="s">
        <v>100</v>
      </c>
      <c r="E204" s="6" t="s">
        <v>82</v>
      </c>
      <c r="F204" s="10">
        <v>1</v>
      </c>
      <c r="G204" s="7">
        <v>175</v>
      </c>
      <c r="H204" s="7">
        <v>175</v>
      </c>
      <c r="I204" s="1" t="str">
        <f>HYPERLINK("http://slimages.macys.com/is/image/MCY/9432499 ")</f>
        <v xml:space="preserve">http://slimages.macys.com/is/image/MCY/9432499 </v>
      </c>
    </row>
    <row r="205" spans="1:9" x14ac:dyDescent="0.2">
      <c r="A205" s="3">
        <v>11288570</v>
      </c>
      <c r="B205" s="3">
        <v>191267426280</v>
      </c>
      <c r="C205" s="5" t="s">
        <v>340</v>
      </c>
      <c r="D205" s="4" t="s">
        <v>279</v>
      </c>
      <c r="E205" s="6" t="s">
        <v>85</v>
      </c>
      <c r="F205" s="10">
        <v>1</v>
      </c>
      <c r="G205" s="7">
        <v>175</v>
      </c>
      <c r="H205" s="7">
        <v>175</v>
      </c>
      <c r="I205" s="1"/>
    </row>
    <row r="206" spans="1:9" x14ac:dyDescent="0.2">
      <c r="A206" s="3">
        <v>11288570</v>
      </c>
      <c r="B206" s="3">
        <v>711640588406</v>
      </c>
      <c r="C206" s="5" t="s">
        <v>341</v>
      </c>
      <c r="D206" s="4" t="s">
        <v>109</v>
      </c>
      <c r="E206" s="6" t="s">
        <v>82</v>
      </c>
      <c r="F206" s="10">
        <v>1</v>
      </c>
      <c r="G206" s="7">
        <v>171.75</v>
      </c>
      <c r="H206" s="7">
        <v>171.75</v>
      </c>
      <c r="I206" s="1" t="str">
        <f>HYPERLINK("http://slimages.macys.com/is/image/MCY/9728664 ")</f>
        <v xml:space="preserve">http://slimages.macys.com/is/image/MCY/9728664 </v>
      </c>
    </row>
    <row r="207" spans="1:9" x14ac:dyDescent="0.2">
      <c r="A207" s="3">
        <v>11288570</v>
      </c>
      <c r="B207" s="3">
        <v>192351650376</v>
      </c>
      <c r="C207" s="5" t="s">
        <v>342</v>
      </c>
      <c r="D207" s="4" t="s">
        <v>220</v>
      </c>
      <c r="E207" s="6" t="s">
        <v>85</v>
      </c>
      <c r="F207" s="10">
        <v>1</v>
      </c>
      <c r="G207" s="7">
        <v>168</v>
      </c>
      <c r="H207" s="7">
        <v>168</v>
      </c>
      <c r="I207" s="1" t="str">
        <f>HYPERLINK("http://slimages.macys.com/is/image/MCY/9925059 ")</f>
        <v xml:space="preserve">http://slimages.macys.com/is/image/MCY/9925059 </v>
      </c>
    </row>
    <row r="208" spans="1:9" x14ac:dyDescent="0.2">
      <c r="A208" s="3">
        <v>11288570</v>
      </c>
      <c r="B208" s="3">
        <v>5025546385423</v>
      </c>
      <c r="C208" s="5" t="s">
        <v>343</v>
      </c>
      <c r="D208" s="4" t="s">
        <v>81</v>
      </c>
      <c r="E208" s="6" t="s">
        <v>132</v>
      </c>
      <c r="F208" s="10">
        <v>1</v>
      </c>
      <c r="G208" s="7">
        <v>165</v>
      </c>
      <c r="H208" s="7">
        <v>165</v>
      </c>
      <c r="I208" s="1" t="str">
        <f>HYPERLINK("http://slimages.macys.com/is/image/MCY/9489466 ")</f>
        <v xml:space="preserve">http://slimages.macys.com/is/image/MCY/9489466 </v>
      </c>
    </row>
    <row r="209" spans="1:9" x14ac:dyDescent="0.2">
      <c r="A209" s="3">
        <v>11288570</v>
      </c>
      <c r="B209" s="3">
        <v>5025546385430</v>
      </c>
      <c r="C209" s="5" t="s">
        <v>344</v>
      </c>
      <c r="D209" s="4" t="s">
        <v>194</v>
      </c>
      <c r="E209" s="6" t="s">
        <v>132</v>
      </c>
      <c r="F209" s="10">
        <v>1</v>
      </c>
      <c r="G209" s="7">
        <v>165</v>
      </c>
      <c r="H209" s="7">
        <v>165</v>
      </c>
      <c r="I209" s="1" t="str">
        <f>HYPERLINK("http://slimages.macys.com/is/image/MCY/9489466 ")</f>
        <v xml:space="preserve">http://slimages.macys.com/is/image/MCY/9489466 </v>
      </c>
    </row>
    <row r="210" spans="1:9" x14ac:dyDescent="0.2">
      <c r="A210" s="3">
        <v>11288570</v>
      </c>
      <c r="B210" s="3">
        <v>190662696144</v>
      </c>
      <c r="C210" s="5" t="s">
        <v>345</v>
      </c>
      <c r="D210" s="4" t="s">
        <v>135</v>
      </c>
      <c r="E210" s="6" t="s">
        <v>85</v>
      </c>
      <c r="F210" s="10">
        <v>1</v>
      </c>
      <c r="G210" s="7">
        <v>158</v>
      </c>
      <c r="H210" s="7">
        <v>158</v>
      </c>
      <c r="I210" s="1" t="str">
        <f>HYPERLINK("http://slimages.macys.com/is/image/MCY/8918076 ")</f>
        <v xml:space="preserve">http://slimages.macys.com/is/image/MCY/8918076 </v>
      </c>
    </row>
    <row r="211" spans="1:9" x14ac:dyDescent="0.2">
      <c r="A211" s="3">
        <v>11288570</v>
      </c>
      <c r="B211" s="3">
        <v>98687160308</v>
      </c>
      <c r="C211" s="5" t="s">
        <v>346</v>
      </c>
      <c r="D211" s="4" t="s">
        <v>87</v>
      </c>
      <c r="E211" s="6" t="s">
        <v>85</v>
      </c>
      <c r="F211" s="10">
        <v>1</v>
      </c>
      <c r="G211" s="7">
        <v>158</v>
      </c>
      <c r="H211" s="7">
        <v>158</v>
      </c>
      <c r="I211" s="1" t="str">
        <f>HYPERLINK("http://slimages.macys.com/is/image/MCY/8829089 ")</f>
        <v xml:space="preserve">http://slimages.macys.com/is/image/MCY/8829089 </v>
      </c>
    </row>
    <row r="212" spans="1:9" x14ac:dyDescent="0.2">
      <c r="A212" s="3">
        <v>11288570</v>
      </c>
      <c r="B212" s="3">
        <v>711640588314</v>
      </c>
      <c r="C212" s="5" t="s">
        <v>347</v>
      </c>
      <c r="D212" s="4" t="s">
        <v>81</v>
      </c>
      <c r="E212" s="6" t="s">
        <v>82</v>
      </c>
      <c r="F212" s="10">
        <v>1</v>
      </c>
      <c r="G212" s="7">
        <v>149.25</v>
      </c>
      <c r="H212" s="7">
        <v>149.25</v>
      </c>
      <c r="I212" s="1" t="str">
        <f>HYPERLINK("http://slimages.macys.com/is/image/MCY/9381934 ")</f>
        <v xml:space="preserve">http://slimages.macys.com/is/image/MCY/9381934 </v>
      </c>
    </row>
    <row r="213" spans="1:9" x14ac:dyDescent="0.2">
      <c r="A213" s="3">
        <v>11288570</v>
      </c>
      <c r="B213" s="3">
        <v>711640587935</v>
      </c>
      <c r="C213" s="5" t="s">
        <v>348</v>
      </c>
      <c r="D213" s="4" t="s">
        <v>98</v>
      </c>
      <c r="E213" s="6" t="s">
        <v>82</v>
      </c>
      <c r="F213" s="10">
        <v>1</v>
      </c>
      <c r="G213" s="7">
        <v>149.25</v>
      </c>
      <c r="H213" s="7">
        <v>149.25</v>
      </c>
      <c r="I213" s="1" t="str">
        <f>HYPERLINK("http://slimages.macys.com/is/image/MCY/9718327 ")</f>
        <v xml:space="preserve">http://slimages.macys.com/is/image/MCY/9718327 </v>
      </c>
    </row>
    <row r="214" spans="1:9" x14ac:dyDescent="0.2">
      <c r="A214" s="3">
        <v>11288570</v>
      </c>
      <c r="B214" s="3">
        <v>887986105772</v>
      </c>
      <c r="C214" s="5" t="s">
        <v>349</v>
      </c>
      <c r="D214" s="4" t="s">
        <v>175</v>
      </c>
      <c r="E214" s="6" t="s">
        <v>85</v>
      </c>
      <c r="F214" s="10">
        <v>1</v>
      </c>
      <c r="G214" s="7">
        <v>149</v>
      </c>
      <c r="H214" s="7">
        <v>149</v>
      </c>
      <c r="I214" s="1" t="str">
        <f>HYPERLINK("http://slimages.macys.com/is/image/MCY/9535785 ")</f>
        <v xml:space="preserve">http://slimages.macys.com/is/image/MCY/9535785 </v>
      </c>
    </row>
    <row r="215" spans="1:9" x14ac:dyDescent="0.2">
      <c r="A215" s="3">
        <v>11288570</v>
      </c>
      <c r="B215" s="3">
        <v>799344646875</v>
      </c>
      <c r="C215" s="5" t="s">
        <v>350</v>
      </c>
      <c r="D215" s="4" t="s">
        <v>168</v>
      </c>
      <c r="E215" s="6" t="s">
        <v>85</v>
      </c>
      <c r="F215" s="10">
        <v>1</v>
      </c>
      <c r="G215" s="7">
        <v>148</v>
      </c>
      <c r="H215" s="7">
        <v>148</v>
      </c>
      <c r="I215" s="1" t="str">
        <f>HYPERLINK("http://slimages.macys.com/is/image/MCY/9358460 ")</f>
        <v xml:space="preserve">http://slimages.macys.com/is/image/MCY/9358460 </v>
      </c>
    </row>
    <row r="216" spans="1:9" x14ac:dyDescent="0.2">
      <c r="A216" s="3">
        <v>11288570</v>
      </c>
      <c r="B216" s="3">
        <v>191935080196</v>
      </c>
      <c r="C216" s="5" t="s">
        <v>351</v>
      </c>
      <c r="D216" s="4" t="s">
        <v>158</v>
      </c>
      <c r="E216" s="6" t="s">
        <v>82</v>
      </c>
      <c r="F216" s="10">
        <v>2</v>
      </c>
      <c r="G216" s="7">
        <v>148</v>
      </c>
      <c r="H216" s="7">
        <v>296</v>
      </c>
      <c r="I216" s="1" t="str">
        <f>HYPERLINK("http://slimages.macys.com/is/image/MCY/9150431 ")</f>
        <v xml:space="preserve">http://slimages.macys.com/is/image/MCY/9150431 </v>
      </c>
    </row>
    <row r="217" spans="1:9" x14ac:dyDescent="0.2">
      <c r="A217" s="3">
        <v>11288570</v>
      </c>
      <c r="B217" s="3">
        <v>191797368395</v>
      </c>
      <c r="C217" s="5" t="s">
        <v>352</v>
      </c>
      <c r="D217" s="4" t="s">
        <v>353</v>
      </c>
      <c r="E217" s="6" t="s">
        <v>85</v>
      </c>
      <c r="F217" s="10">
        <v>1</v>
      </c>
      <c r="G217" s="7">
        <v>148</v>
      </c>
      <c r="H217" s="7">
        <v>148</v>
      </c>
      <c r="I217" s="1" t="str">
        <f>HYPERLINK("http://slimages.macys.com/is/image/MCY/8170266 ")</f>
        <v xml:space="preserve">http://slimages.macys.com/is/image/MCY/8170266 </v>
      </c>
    </row>
    <row r="218" spans="1:9" x14ac:dyDescent="0.2">
      <c r="A218" s="3">
        <v>11288570</v>
      </c>
      <c r="B218" s="3">
        <v>191202218529</v>
      </c>
      <c r="C218" s="5" t="s">
        <v>354</v>
      </c>
      <c r="D218" s="4" t="s">
        <v>355</v>
      </c>
      <c r="E218" s="6" t="s">
        <v>82</v>
      </c>
      <c r="F218" s="10">
        <v>1</v>
      </c>
      <c r="G218" s="7">
        <v>145</v>
      </c>
      <c r="H218" s="7">
        <v>145</v>
      </c>
      <c r="I218" s="1" t="str">
        <f>HYPERLINK("http://slimages.macys.com/is/image/MCY/9204493 ")</f>
        <v xml:space="preserve">http://slimages.macys.com/is/image/MCY/9204493 </v>
      </c>
    </row>
    <row r="219" spans="1:9" x14ac:dyDescent="0.2">
      <c r="A219" s="3">
        <v>11288570</v>
      </c>
      <c r="B219" s="3">
        <v>191202668669</v>
      </c>
      <c r="C219" s="5" t="s">
        <v>356</v>
      </c>
      <c r="D219" s="4" t="s">
        <v>235</v>
      </c>
      <c r="E219" s="6" t="s">
        <v>82</v>
      </c>
      <c r="F219" s="10">
        <v>2</v>
      </c>
      <c r="G219" s="7">
        <v>145</v>
      </c>
      <c r="H219" s="7">
        <v>290</v>
      </c>
      <c r="I219" s="1" t="str">
        <f>HYPERLINK("http://slimages.macys.com/is/image/MCY/9460452 ")</f>
        <v xml:space="preserve">http://slimages.macys.com/is/image/MCY/9460452 </v>
      </c>
    </row>
    <row r="220" spans="1:9" x14ac:dyDescent="0.2">
      <c r="A220" s="3">
        <v>11288570</v>
      </c>
      <c r="B220" s="3">
        <v>5025546385126</v>
      </c>
      <c r="C220" s="5" t="s">
        <v>357</v>
      </c>
      <c r="D220" s="4" t="s">
        <v>94</v>
      </c>
      <c r="E220" s="6" t="s">
        <v>143</v>
      </c>
      <c r="F220" s="10">
        <v>1</v>
      </c>
      <c r="G220" s="7">
        <v>145</v>
      </c>
      <c r="H220" s="7">
        <v>145</v>
      </c>
      <c r="I220" s="1" t="str">
        <f>HYPERLINK("http://slimages.macys.com/is/image/MCY/9052129 ")</f>
        <v xml:space="preserve">http://slimages.macys.com/is/image/MCY/9052129 </v>
      </c>
    </row>
    <row r="221" spans="1:9" x14ac:dyDescent="0.2">
      <c r="A221" s="3">
        <v>11288570</v>
      </c>
      <c r="B221" s="3">
        <v>191797144807</v>
      </c>
      <c r="C221" s="5" t="s">
        <v>358</v>
      </c>
      <c r="D221" s="4" t="s">
        <v>245</v>
      </c>
      <c r="E221" s="6" t="s">
        <v>85</v>
      </c>
      <c r="F221" s="10">
        <v>1</v>
      </c>
      <c r="G221" s="7">
        <v>138</v>
      </c>
      <c r="H221" s="7">
        <v>138</v>
      </c>
      <c r="I221" s="1" t="str">
        <f>HYPERLINK("http://slimages.macys.com/is/image/MCY/9553254 ")</f>
        <v xml:space="preserve">http://slimages.macys.com/is/image/MCY/9553254 </v>
      </c>
    </row>
    <row r="222" spans="1:9" x14ac:dyDescent="0.2">
      <c r="A222" s="3">
        <v>11288570</v>
      </c>
      <c r="B222" s="3">
        <v>190466262521</v>
      </c>
      <c r="C222" s="5" t="s">
        <v>359</v>
      </c>
      <c r="D222" s="4" t="s">
        <v>360</v>
      </c>
      <c r="E222" s="6" t="s">
        <v>85</v>
      </c>
      <c r="F222" s="10">
        <v>1</v>
      </c>
      <c r="G222" s="7">
        <v>138</v>
      </c>
      <c r="H222" s="7">
        <v>138</v>
      </c>
      <c r="I222" s="1"/>
    </row>
    <row r="223" spans="1:9" x14ac:dyDescent="0.2">
      <c r="A223" s="3">
        <v>11288570</v>
      </c>
      <c r="B223" s="3">
        <v>191202464414</v>
      </c>
      <c r="C223" s="5" t="s">
        <v>361</v>
      </c>
      <c r="D223" s="4" t="s">
        <v>155</v>
      </c>
      <c r="E223" s="6" t="s">
        <v>82</v>
      </c>
      <c r="F223" s="10">
        <v>1</v>
      </c>
      <c r="G223" s="7">
        <v>135</v>
      </c>
      <c r="H223" s="7">
        <v>135</v>
      </c>
      <c r="I223" s="1" t="str">
        <f>HYPERLINK("http://slimages.macys.com/is/image/MCY/9460789 ")</f>
        <v xml:space="preserve">http://slimages.macys.com/is/image/MCY/9460789 </v>
      </c>
    </row>
    <row r="224" spans="1:9" x14ac:dyDescent="0.2">
      <c r="A224" s="3">
        <v>11288570</v>
      </c>
      <c r="B224" s="3">
        <v>191202464933</v>
      </c>
      <c r="C224" s="5" t="s">
        <v>362</v>
      </c>
      <c r="D224" s="4" t="s">
        <v>100</v>
      </c>
      <c r="E224" s="6" t="s">
        <v>82</v>
      </c>
      <c r="F224" s="10">
        <v>1</v>
      </c>
      <c r="G224" s="7">
        <v>135</v>
      </c>
      <c r="H224" s="7">
        <v>135</v>
      </c>
      <c r="I224" s="1" t="str">
        <f>HYPERLINK("http://slimages.macys.com/is/image/MCY/9500697 ")</f>
        <v xml:space="preserve">http://slimages.macys.com/is/image/MCY/9500697 </v>
      </c>
    </row>
    <row r="225" spans="1:9" x14ac:dyDescent="0.2">
      <c r="A225" s="3">
        <v>11288570</v>
      </c>
      <c r="B225" s="3">
        <v>191202464384</v>
      </c>
      <c r="C225" s="5" t="s">
        <v>363</v>
      </c>
      <c r="D225" s="4" t="s">
        <v>103</v>
      </c>
      <c r="E225" s="6" t="s">
        <v>82</v>
      </c>
      <c r="F225" s="10">
        <v>1</v>
      </c>
      <c r="G225" s="7">
        <v>135</v>
      </c>
      <c r="H225" s="7">
        <v>135</v>
      </c>
      <c r="I225" s="1" t="str">
        <f>HYPERLINK("http://slimages.macys.com/is/image/MCY/9460789 ")</f>
        <v xml:space="preserve">http://slimages.macys.com/is/image/MCY/9460789 </v>
      </c>
    </row>
    <row r="226" spans="1:9" x14ac:dyDescent="0.2">
      <c r="A226" s="3">
        <v>11288570</v>
      </c>
      <c r="B226" s="3">
        <v>711640588284</v>
      </c>
      <c r="C226" s="5" t="s">
        <v>170</v>
      </c>
      <c r="D226" s="4"/>
      <c r="E226" s="6" t="s">
        <v>82</v>
      </c>
      <c r="F226" s="10">
        <v>1</v>
      </c>
      <c r="G226" s="7">
        <v>134.25</v>
      </c>
      <c r="H226" s="7">
        <v>134.25</v>
      </c>
      <c r="I226" s="1" t="str">
        <f>HYPERLINK("http://slimages.macys.com/is/image/MCY/9382409 ")</f>
        <v xml:space="preserve">http://slimages.macys.com/is/image/MCY/9382409 </v>
      </c>
    </row>
    <row r="227" spans="1:9" x14ac:dyDescent="0.2">
      <c r="A227" s="3">
        <v>11288570</v>
      </c>
      <c r="B227" s="3">
        <v>889298173098</v>
      </c>
      <c r="C227" s="5" t="s">
        <v>364</v>
      </c>
      <c r="D227" s="4" t="s">
        <v>96</v>
      </c>
      <c r="E227" s="6" t="s">
        <v>85</v>
      </c>
      <c r="F227" s="10">
        <v>1</v>
      </c>
      <c r="G227" s="7">
        <v>132</v>
      </c>
      <c r="H227" s="7">
        <v>132</v>
      </c>
      <c r="I227" s="1" t="str">
        <f>HYPERLINK("http://slimages.macys.com/is/image/MCY/9363905 ")</f>
        <v xml:space="preserve">http://slimages.macys.com/is/image/MCY/9363905 </v>
      </c>
    </row>
    <row r="228" spans="1:9" x14ac:dyDescent="0.2">
      <c r="A228" s="3">
        <v>11288570</v>
      </c>
      <c r="B228" s="3">
        <v>719220854439</v>
      </c>
      <c r="C228" s="5" t="s">
        <v>365</v>
      </c>
      <c r="D228" s="4" t="s">
        <v>184</v>
      </c>
      <c r="E228" s="6" t="s">
        <v>85</v>
      </c>
      <c r="F228" s="10">
        <v>1</v>
      </c>
      <c r="G228" s="7">
        <v>128</v>
      </c>
      <c r="H228" s="7">
        <v>128</v>
      </c>
      <c r="I228" s="1" t="str">
        <f>HYPERLINK("http://slimages.macys.com/is/image/MCY/8885022 ")</f>
        <v xml:space="preserve">http://slimages.macys.com/is/image/MCY/8885022 </v>
      </c>
    </row>
    <row r="229" spans="1:9" x14ac:dyDescent="0.2">
      <c r="A229" s="3">
        <v>11288570</v>
      </c>
      <c r="B229" s="3">
        <v>190864508764</v>
      </c>
      <c r="C229" s="5" t="s">
        <v>366</v>
      </c>
      <c r="D229" s="4" t="s">
        <v>109</v>
      </c>
      <c r="E229" s="6" t="s">
        <v>82</v>
      </c>
      <c r="F229" s="10">
        <v>1</v>
      </c>
      <c r="G229" s="7">
        <v>128</v>
      </c>
      <c r="H229" s="7">
        <v>128</v>
      </c>
      <c r="I229" s="1" t="str">
        <f>HYPERLINK("http://slimages.macys.com/is/image/MCY/8373215 ")</f>
        <v xml:space="preserve">http://slimages.macys.com/is/image/MCY/8373215 </v>
      </c>
    </row>
    <row r="230" spans="1:9" x14ac:dyDescent="0.2">
      <c r="A230" s="3">
        <v>11288570</v>
      </c>
      <c r="B230" s="3">
        <v>98687124652</v>
      </c>
      <c r="C230" s="5" t="s">
        <v>367</v>
      </c>
      <c r="D230" s="4" t="s">
        <v>89</v>
      </c>
      <c r="E230" s="6" t="s">
        <v>85</v>
      </c>
      <c r="F230" s="10">
        <v>1</v>
      </c>
      <c r="G230" s="7">
        <v>128</v>
      </c>
      <c r="H230" s="7">
        <v>128</v>
      </c>
      <c r="I230" s="1" t="str">
        <f>HYPERLINK("http://slimages.macys.com/is/image/MCY/8581725 ")</f>
        <v xml:space="preserve">http://slimages.macys.com/is/image/MCY/8581725 </v>
      </c>
    </row>
    <row r="231" spans="1:9" x14ac:dyDescent="0.2">
      <c r="A231" s="3">
        <v>11288570</v>
      </c>
      <c r="B231" s="3">
        <v>802892490583</v>
      </c>
      <c r="C231" s="5" t="s">
        <v>368</v>
      </c>
      <c r="D231" s="4" t="s">
        <v>89</v>
      </c>
      <c r="E231" s="6" t="s">
        <v>85</v>
      </c>
      <c r="F231" s="10">
        <v>1</v>
      </c>
      <c r="G231" s="7">
        <v>128</v>
      </c>
      <c r="H231" s="7">
        <v>128</v>
      </c>
      <c r="I231" s="1" t="str">
        <f>HYPERLINK("http://slimages.macys.com/is/image/MCY/9526893 ")</f>
        <v xml:space="preserve">http://slimages.macys.com/is/image/MCY/9526893 </v>
      </c>
    </row>
    <row r="232" spans="1:9" x14ac:dyDescent="0.2">
      <c r="A232" s="3">
        <v>11288570</v>
      </c>
      <c r="B232" s="3">
        <v>747542241415</v>
      </c>
      <c r="C232" s="5" t="s">
        <v>369</v>
      </c>
      <c r="D232" s="4" t="s">
        <v>81</v>
      </c>
      <c r="E232" s="6" t="s">
        <v>85</v>
      </c>
      <c r="F232" s="10">
        <v>1</v>
      </c>
      <c r="G232" s="7">
        <v>127.08</v>
      </c>
      <c r="H232" s="7">
        <v>127.08</v>
      </c>
      <c r="I232" s="1" t="str">
        <f>HYPERLINK("http://slimages.macys.com/is/image/MCY/9405510 ")</f>
        <v xml:space="preserve">http://slimages.macys.com/is/image/MCY/9405510 </v>
      </c>
    </row>
    <row r="233" spans="1:9" x14ac:dyDescent="0.2">
      <c r="A233" s="3">
        <v>11288570</v>
      </c>
      <c r="B233" s="3">
        <v>191202621572</v>
      </c>
      <c r="C233" s="5" t="s">
        <v>370</v>
      </c>
      <c r="D233" s="4" t="s">
        <v>175</v>
      </c>
      <c r="E233" s="6" t="s">
        <v>82</v>
      </c>
      <c r="F233" s="10">
        <v>1</v>
      </c>
      <c r="G233" s="7">
        <v>125</v>
      </c>
      <c r="H233" s="7">
        <v>125</v>
      </c>
      <c r="I233" s="1" t="str">
        <f>HYPERLINK("http://slimages.macys.com/is/image/MCY/9469995 ")</f>
        <v xml:space="preserve">http://slimages.macys.com/is/image/MCY/9469995 </v>
      </c>
    </row>
    <row r="234" spans="1:9" x14ac:dyDescent="0.2">
      <c r="A234" s="3">
        <v>11288570</v>
      </c>
      <c r="B234" s="3">
        <v>711640567609</v>
      </c>
      <c r="C234" s="5" t="s">
        <v>371</v>
      </c>
      <c r="D234" s="4" t="s">
        <v>168</v>
      </c>
      <c r="E234" s="6" t="s">
        <v>82</v>
      </c>
      <c r="F234" s="10">
        <v>1</v>
      </c>
      <c r="G234" s="7">
        <v>119.25</v>
      </c>
      <c r="H234" s="7">
        <v>119.25</v>
      </c>
      <c r="I234" s="1" t="str">
        <f>HYPERLINK("http://slimages.macys.com/is/image/MCY/9989106 ")</f>
        <v xml:space="preserve">http://slimages.macys.com/is/image/MCY/9989106 </v>
      </c>
    </row>
    <row r="235" spans="1:9" x14ac:dyDescent="0.2">
      <c r="A235" s="3">
        <v>11288570</v>
      </c>
      <c r="B235" s="3">
        <v>887986108094</v>
      </c>
      <c r="C235" s="5" t="s">
        <v>372</v>
      </c>
      <c r="D235" s="4" t="s">
        <v>81</v>
      </c>
      <c r="E235" s="6" t="s">
        <v>85</v>
      </c>
      <c r="F235" s="10">
        <v>1</v>
      </c>
      <c r="G235" s="7">
        <v>119</v>
      </c>
      <c r="H235" s="7">
        <v>119</v>
      </c>
      <c r="I235" s="1" t="str">
        <f>HYPERLINK("http://slimages.macys.com/is/image/MCY/9271054 ")</f>
        <v xml:space="preserve">http://slimages.macys.com/is/image/MCY/9271054 </v>
      </c>
    </row>
    <row r="236" spans="1:9" x14ac:dyDescent="0.2">
      <c r="A236" s="3">
        <v>11288570</v>
      </c>
      <c r="B236" s="3">
        <v>882256323931</v>
      </c>
      <c r="C236" s="5" t="s">
        <v>373</v>
      </c>
      <c r="D236" s="4" t="s">
        <v>81</v>
      </c>
      <c r="E236" s="6" t="s">
        <v>85</v>
      </c>
      <c r="F236" s="10">
        <v>1</v>
      </c>
      <c r="G236" s="7">
        <v>119</v>
      </c>
      <c r="H236" s="7">
        <v>119</v>
      </c>
      <c r="I236" s="1" t="str">
        <f>HYPERLINK("http://slimages.macys.com/is/image/MCY/8629631 ")</f>
        <v xml:space="preserve">http://slimages.macys.com/is/image/MCY/8629631 </v>
      </c>
    </row>
    <row r="237" spans="1:9" x14ac:dyDescent="0.2">
      <c r="A237" s="3">
        <v>11288570</v>
      </c>
      <c r="B237" s="3">
        <v>191262370465</v>
      </c>
      <c r="C237" s="5" t="s">
        <v>374</v>
      </c>
      <c r="D237" s="4" t="s">
        <v>91</v>
      </c>
      <c r="E237" s="6" t="s">
        <v>82</v>
      </c>
      <c r="F237" s="10">
        <v>1</v>
      </c>
      <c r="G237" s="7">
        <v>118</v>
      </c>
      <c r="H237" s="7">
        <v>118</v>
      </c>
      <c r="I237" s="1" t="str">
        <f>HYPERLINK("http://slimages.macys.com/is/image/MCY/8919844 ")</f>
        <v xml:space="preserve">http://slimages.macys.com/is/image/MCY/8919844 </v>
      </c>
    </row>
    <row r="238" spans="1:9" x14ac:dyDescent="0.2">
      <c r="A238" s="3">
        <v>11288570</v>
      </c>
      <c r="B238" s="3">
        <v>889609242789</v>
      </c>
      <c r="C238" s="5" t="s">
        <v>178</v>
      </c>
      <c r="D238" s="4" t="s">
        <v>81</v>
      </c>
      <c r="E238" s="6" t="s">
        <v>85</v>
      </c>
      <c r="F238" s="10">
        <v>1</v>
      </c>
      <c r="G238" s="7">
        <v>118</v>
      </c>
      <c r="H238" s="7">
        <v>118</v>
      </c>
      <c r="I238" s="1" t="str">
        <f>HYPERLINK("http://slimages.macys.com/is/image/MCY/3673482 ")</f>
        <v xml:space="preserve">http://slimages.macys.com/is/image/MCY/3673482 </v>
      </c>
    </row>
    <row r="239" spans="1:9" x14ac:dyDescent="0.2">
      <c r="A239" s="3">
        <v>11288570</v>
      </c>
      <c r="B239" s="3">
        <v>190231071327</v>
      </c>
      <c r="C239" s="5" t="s">
        <v>375</v>
      </c>
      <c r="D239" s="4"/>
      <c r="E239" s="6" t="s">
        <v>85</v>
      </c>
      <c r="F239" s="10">
        <v>1</v>
      </c>
      <c r="G239" s="7">
        <v>118</v>
      </c>
      <c r="H239" s="7">
        <v>118</v>
      </c>
      <c r="I239" s="1" t="str">
        <f>HYPERLINK("http://slimages.macys.com/is/image/MCY/9005796 ")</f>
        <v xml:space="preserve">http://slimages.macys.com/is/image/MCY/9005796 </v>
      </c>
    </row>
    <row r="240" spans="1:9" x14ac:dyDescent="0.2">
      <c r="A240" s="3">
        <v>11288570</v>
      </c>
      <c r="B240" s="3">
        <v>711640595404</v>
      </c>
      <c r="C240" s="5" t="s">
        <v>376</v>
      </c>
      <c r="D240" s="4" t="s">
        <v>223</v>
      </c>
      <c r="E240" s="6" t="s">
        <v>82</v>
      </c>
      <c r="F240" s="10">
        <v>1</v>
      </c>
      <c r="G240" s="7">
        <v>111.75</v>
      </c>
      <c r="H240" s="7">
        <v>111.75</v>
      </c>
      <c r="I240" s="1" t="str">
        <f>HYPERLINK("http://slimages.macys.com/is/image/MCY/9284220 ")</f>
        <v xml:space="preserve">http://slimages.macys.com/is/image/MCY/9284220 </v>
      </c>
    </row>
    <row r="241" spans="1:9" x14ac:dyDescent="0.2">
      <c r="A241" s="3">
        <v>11288570</v>
      </c>
      <c r="B241" s="3">
        <v>889487294597</v>
      </c>
      <c r="C241" s="5" t="s">
        <v>377</v>
      </c>
      <c r="D241" s="4" t="s">
        <v>205</v>
      </c>
      <c r="E241" s="6" t="s">
        <v>85</v>
      </c>
      <c r="F241" s="10">
        <v>2</v>
      </c>
      <c r="G241" s="7">
        <v>108</v>
      </c>
      <c r="H241" s="7">
        <v>216</v>
      </c>
      <c r="I241" s="1" t="str">
        <f>HYPERLINK("http://slimages.macys.com/is/image/MCY/8869397 ")</f>
        <v xml:space="preserve">http://slimages.macys.com/is/image/MCY/8869397 </v>
      </c>
    </row>
    <row r="242" spans="1:9" x14ac:dyDescent="0.2">
      <c r="A242" s="3">
        <v>11288570</v>
      </c>
      <c r="B242" s="3">
        <v>5025546387083</v>
      </c>
      <c r="C242" s="5" t="s">
        <v>378</v>
      </c>
      <c r="D242" s="4" t="s">
        <v>94</v>
      </c>
      <c r="E242" s="6" t="s">
        <v>185</v>
      </c>
      <c r="F242" s="10">
        <v>2</v>
      </c>
      <c r="G242" s="7">
        <v>105</v>
      </c>
      <c r="H242" s="7">
        <v>210</v>
      </c>
      <c r="I242" s="1" t="str">
        <f>HYPERLINK("http://slimages.macys.com/is/image/MCY/9330062 ")</f>
        <v xml:space="preserve">http://slimages.macys.com/is/image/MCY/9330062 </v>
      </c>
    </row>
    <row r="243" spans="1:9" x14ac:dyDescent="0.2">
      <c r="A243" s="3">
        <v>11288570</v>
      </c>
      <c r="B243" s="3">
        <v>5025546387144</v>
      </c>
      <c r="C243" s="5" t="s">
        <v>379</v>
      </c>
      <c r="D243" s="4" t="s">
        <v>107</v>
      </c>
      <c r="E243" s="6" t="s">
        <v>185</v>
      </c>
      <c r="F243" s="10">
        <v>1</v>
      </c>
      <c r="G243" s="7">
        <v>105</v>
      </c>
      <c r="H243" s="7">
        <v>105</v>
      </c>
      <c r="I243" s="1" t="str">
        <f>HYPERLINK("http://slimages.macys.com/is/image/MCY/8761625 ")</f>
        <v xml:space="preserve">http://slimages.macys.com/is/image/MCY/8761625 </v>
      </c>
    </row>
    <row r="244" spans="1:9" x14ac:dyDescent="0.2">
      <c r="A244" s="3">
        <v>11288570</v>
      </c>
      <c r="B244" s="3">
        <v>5025546387052</v>
      </c>
      <c r="C244" s="5" t="s">
        <v>380</v>
      </c>
      <c r="D244" s="4" t="s">
        <v>81</v>
      </c>
      <c r="E244" s="6" t="s">
        <v>185</v>
      </c>
      <c r="F244" s="10">
        <v>3</v>
      </c>
      <c r="G244" s="7">
        <v>105</v>
      </c>
      <c r="H244" s="7">
        <v>315</v>
      </c>
      <c r="I244" s="1" t="str">
        <f>HYPERLINK("http://slimages.macys.com/is/image/MCY/9330099 ")</f>
        <v xml:space="preserve">http://slimages.macys.com/is/image/MCY/9330099 </v>
      </c>
    </row>
    <row r="245" spans="1:9" x14ac:dyDescent="0.2">
      <c r="A245" s="3">
        <v>11288570</v>
      </c>
      <c r="B245" s="3">
        <v>711640413203</v>
      </c>
      <c r="C245" s="5" t="s">
        <v>381</v>
      </c>
      <c r="D245" s="4" t="s">
        <v>158</v>
      </c>
      <c r="E245" s="6" t="s">
        <v>82</v>
      </c>
      <c r="F245" s="10">
        <v>1</v>
      </c>
      <c r="G245" s="7">
        <v>104.25</v>
      </c>
      <c r="H245" s="7">
        <v>104.25</v>
      </c>
      <c r="I245" s="1" t="str">
        <f>HYPERLINK("http://slimages.macys.com/is/image/MCY/3859454 ")</f>
        <v xml:space="preserve">http://slimages.macys.com/is/image/MCY/3859454 </v>
      </c>
    </row>
    <row r="246" spans="1:9" x14ac:dyDescent="0.2">
      <c r="A246" s="3">
        <v>11288570</v>
      </c>
      <c r="B246" s="3">
        <v>723764549560</v>
      </c>
      <c r="C246" s="5" t="s">
        <v>382</v>
      </c>
      <c r="D246" s="4"/>
      <c r="E246" s="6" t="s">
        <v>82</v>
      </c>
      <c r="F246" s="10">
        <v>1</v>
      </c>
      <c r="G246" s="7">
        <v>100</v>
      </c>
      <c r="H246" s="7">
        <v>100</v>
      </c>
      <c r="I246" s="1" t="str">
        <f>HYPERLINK("http://slimages.macys.com/is/image/MCY/9058031 ")</f>
        <v xml:space="preserve">http://slimages.macys.com/is/image/MCY/9058031 </v>
      </c>
    </row>
    <row r="247" spans="1:9" x14ac:dyDescent="0.2">
      <c r="A247" s="3">
        <v>11288570</v>
      </c>
      <c r="B247" s="3">
        <v>98687122245</v>
      </c>
      <c r="C247" s="5" t="s">
        <v>383</v>
      </c>
      <c r="D247" s="4" t="s">
        <v>96</v>
      </c>
      <c r="E247" s="6" t="s">
        <v>85</v>
      </c>
      <c r="F247" s="10">
        <v>1</v>
      </c>
      <c r="G247" s="7">
        <v>100</v>
      </c>
      <c r="H247" s="7">
        <v>100</v>
      </c>
      <c r="I247" s="1"/>
    </row>
    <row r="248" spans="1:9" x14ac:dyDescent="0.2">
      <c r="A248" s="3">
        <v>11288570</v>
      </c>
      <c r="B248" s="3">
        <v>191202217867</v>
      </c>
      <c r="C248" s="5" t="s">
        <v>384</v>
      </c>
      <c r="D248" s="4" t="s">
        <v>125</v>
      </c>
      <c r="E248" s="6" t="s">
        <v>82</v>
      </c>
      <c r="F248" s="10">
        <v>2</v>
      </c>
      <c r="G248" s="7">
        <v>99</v>
      </c>
      <c r="H248" s="7">
        <v>198</v>
      </c>
      <c r="I248" s="1" t="str">
        <f>HYPERLINK("http://slimages.macys.com/is/image/MCY/10223698 ")</f>
        <v xml:space="preserve">http://slimages.macys.com/is/image/MCY/10223698 </v>
      </c>
    </row>
    <row r="249" spans="1:9" x14ac:dyDescent="0.2">
      <c r="A249" s="3">
        <v>11288570</v>
      </c>
      <c r="B249" s="3">
        <v>191202464964</v>
      </c>
      <c r="C249" s="5" t="s">
        <v>385</v>
      </c>
      <c r="D249" s="4" t="s">
        <v>287</v>
      </c>
      <c r="E249" s="6" t="s">
        <v>82</v>
      </c>
      <c r="F249" s="10">
        <v>1</v>
      </c>
      <c r="G249" s="7">
        <v>99</v>
      </c>
      <c r="H249" s="7">
        <v>99</v>
      </c>
      <c r="I249" s="1" t="str">
        <f>HYPERLINK("http://slimages.macys.com/is/image/MCY/10223698 ")</f>
        <v xml:space="preserve">http://slimages.macys.com/is/image/MCY/10223698 </v>
      </c>
    </row>
    <row r="250" spans="1:9" x14ac:dyDescent="0.2">
      <c r="A250" s="3">
        <v>11288570</v>
      </c>
      <c r="B250" s="3">
        <v>887986109787</v>
      </c>
      <c r="C250" s="5" t="s">
        <v>386</v>
      </c>
      <c r="D250" s="4" t="s">
        <v>184</v>
      </c>
      <c r="E250" s="6" t="s">
        <v>85</v>
      </c>
      <c r="F250" s="10">
        <v>2</v>
      </c>
      <c r="G250" s="7">
        <v>99</v>
      </c>
      <c r="H250" s="7">
        <v>198</v>
      </c>
      <c r="I250" s="1" t="str">
        <f>HYPERLINK("http://slimages.macys.com/is/image/MCY/9689022 ")</f>
        <v xml:space="preserve">http://slimages.macys.com/is/image/MCY/9689022 </v>
      </c>
    </row>
    <row r="251" spans="1:9" x14ac:dyDescent="0.2">
      <c r="A251" s="3">
        <v>11288570</v>
      </c>
      <c r="B251" s="3">
        <v>191202220652</v>
      </c>
      <c r="C251" s="5" t="s">
        <v>387</v>
      </c>
      <c r="D251" s="4" t="s">
        <v>175</v>
      </c>
      <c r="E251" s="6" t="s">
        <v>82</v>
      </c>
      <c r="F251" s="10">
        <v>1</v>
      </c>
      <c r="G251" s="7">
        <v>99</v>
      </c>
      <c r="H251" s="7">
        <v>99</v>
      </c>
      <c r="I251" s="1"/>
    </row>
    <row r="252" spans="1:9" x14ac:dyDescent="0.2">
      <c r="A252" s="3">
        <v>11288570</v>
      </c>
      <c r="B252" s="3">
        <v>700289088781</v>
      </c>
      <c r="C252" s="5" t="s">
        <v>388</v>
      </c>
      <c r="D252" s="4" t="s">
        <v>389</v>
      </c>
      <c r="E252" s="6" t="s">
        <v>85</v>
      </c>
      <c r="F252" s="10">
        <v>2</v>
      </c>
      <c r="G252" s="7">
        <v>98</v>
      </c>
      <c r="H252" s="7">
        <v>196</v>
      </c>
      <c r="I252" s="1" t="str">
        <f>HYPERLINK("http://slimages.macys.com/is/image/MCY/1856223 ")</f>
        <v xml:space="preserve">http://slimages.macys.com/is/image/MCY/1856223 </v>
      </c>
    </row>
    <row r="253" spans="1:9" x14ac:dyDescent="0.2">
      <c r="A253" s="3">
        <v>11288570</v>
      </c>
      <c r="B253" s="3">
        <v>191797900397</v>
      </c>
      <c r="C253" s="5" t="s">
        <v>390</v>
      </c>
      <c r="D253" s="4" t="s">
        <v>155</v>
      </c>
      <c r="E253" s="6" t="s">
        <v>85</v>
      </c>
      <c r="F253" s="10">
        <v>1</v>
      </c>
      <c r="G253" s="7">
        <v>98</v>
      </c>
      <c r="H253" s="7">
        <v>98</v>
      </c>
      <c r="I253" s="1" t="str">
        <f>HYPERLINK("http://slimages.macys.com/is/image/MCY/10040629 ")</f>
        <v xml:space="preserve">http://slimages.macys.com/is/image/MCY/10040629 </v>
      </c>
    </row>
    <row r="254" spans="1:9" x14ac:dyDescent="0.2">
      <c r="A254" s="3">
        <v>11288570</v>
      </c>
      <c r="B254" s="3">
        <v>190466605670</v>
      </c>
      <c r="C254" s="5" t="s">
        <v>391</v>
      </c>
      <c r="D254" s="4" t="s">
        <v>392</v>
      </c>
      <c r="E254" s="6" t="s">
        <v>85</v>
      </c>
      <c r="F254" s="10">
        <v>1</v>
      </c>
      <c r="G254" s="7">
        <v>98</v>
      </c>
      <c r="H254" s="7">
        <v>98</v>
      </c>
      <c r="I254" s="1" t="str">
        <f>HYPERLINK("http://slimages.macys.com/is/image/MCY/8950344 ")</f>
        <v xml:space="preserve">http://slimages.macys.com/is/image/MCY/8950344 </v>
      </c>
    </row>
    <row r="255" spans="1:9" x14ac:dyDescent="0.2">
      <c r="A255" s="3">
        <v>11288570</v>
      </c>
      <c r="B255" s="3">
        <v>889487302209</v>
      </c>
      <c r="C255" s="5" t="s">
        <v>393</v>
      </c>
      <c r="D255" s="4" t="s">
        <v>81</v>
      </c>
      <c r="E255" s="6" t="s">
        <v>85</v>
      </c>
      <c r="F255" s="10">
        <v>1</v>
      </c>
      <c r="G255" s="7">
        <v>98</v>
      </c>
      <c r="H255" s="7">
        <v>98</v>
      </c>
      <c r="I255" s="1" t="str">
        <f>HYPERLINK("http://slimages.macys.com/is/image/MCY/9053468 ")</f>
        <v xml:space="preserve">http://slimages.macys.com/is/image/MCY/9053468 </v>
      </c>
    </row>
    <row r="256" spans="1:9" x14ac:dyDescent="0.2">
      <c r="A256" s="3">
        <v>11288570</v>
      </c>
      <c r="B256" s="3">
        <v>889487348184</v>
      </c>
      <c r="C256" s="5" t="s">
        <v>192</v>
      </c>
      <c r="D256" s="4" t="s">
        <v>138</v>
      </c>
      <c r="E256" s="6" t="s">
        <v>85</v>
      </c>
      <c r="F256" s="10">
        <v>2</v>
      </c>
      <c r="G256" s="7">
        <v>98</v>
      </c>
      <c r="H256" s="7">
        <v>196</v>
      </c>
      <c r="I256" s="1" t="str">
        <f>HYPERLINK("http://slimages.macys.com/is/image/MCY/9330563 ")</f>
        <v xml:space="preserve">http://slimages.macys.com/is/image/MCY/9330563 </v>
      </c>
    </row>
    <row r="257" spans="1:9" x14ac:dyDescent="0.2">
      <c r="A257" s="3">
        <v>11288570</v>
      </c>
      <c r="B257" s="3">
        <v>889487304197</v>
      </c>
      <c r="C257" s="5" t="s">
        <v>394</v>
      </c>
      <c r="D257" s="4" t="s">
        <v>81</v>
      </c>
      <c r="E257" s="6" t="s">
        <v>85</v>
      </c>
      <c r="F257" s="10">
        <v>1</v>
      </c>
      <c r="G257" s="7">
        <v>98</v>
      </c>
      <c r="H257" s="7">
        <v>98</v>
      </c>
      <c r="I257" s="1" t="str">
        <f>HYPERLINK("http://slimages.macys.com/is/image/MCY/9079681 ")</f>
        <v xml:space="preserve">http://slimages.macys.com/is/image/MCY/9079681 </v>
      </c>
    </row>
    <row r="258" spans="1:9" x14ac:dyDescent="0.2">
      <c r="A258" s="3">
        <v>11288570</v>
      </c>
      <c r="B258" s="3">
        <v>191202477056</v>
      </c>
      <c r="C258" s="5" t="s">
        <v>395</v>
      </c>
      <c r="D258" s="4" t="s">
        <v>100</v>
      </c>
      <c r="E258" s="6" t="s">
        <v>82</v>
      </c>
      <c r="F258" s="10">
        <v>1</v>
      </c>
      <c r="G258" s="7">
        <v>95</v>
      </c>
      <c r="H258" s="7">
        <v>95</v>
      </c>
      <c r="I258" s="1" t="str">
        <f>HYPERLINK("http://slimages.macys.com/is/image/MCY/9470127 ")</f>
        <v xml:space="preserve">http://slimages.macys.com/is/image/MCY/9470127 </v>
      </c>
    </row>
    <row r="259" spans="1:9" x14ac:dyDescent="0.2">
      <c r="A259" s="3">
        <v>11288570</v>
      </c>
      <c r="B259" s="3">
        <v>191935095794</v>
      </c>
      <c r="C259" s="5" t="s">
        <v>396</v>
      </c>
      <c r="D259" s="4" t="s">
        <v>158</v>
      </c>
      <c r="E259" s="6" t="s">
        <v>82</v>
      </c>
      <c r="F259" s="10">
        <v>1</v>
      </c>
      <c r="G259" s="7">
        <v>95</v>
      </c>
      <c r="H259" s="7">
        <v>95</v>
      </c>
      <c r="I259" s="1" t="str">
        <f>HYPERLINK("http://slimages.macys.com/is/image/MCY/9156402 ")</f>
        <v xml:space="preserve">http://slimages.macys.com/is/image/MCY/9156402 </v>
      </c>
    </row>
    <row r="260" spans="1:9" x14ac:dyDescent="0.2">
      <c r="A260" s="3">
        <v>11288570</v>
      </c>
      <c r="B260" s="3">
        <v>882256358896</v>
      </c>
      <c r="C260" s="5" t="s">
        <v>397</v>
      </c>
      <c r="D260" s="4" t="s">
        <v>398</v>
      </c>
      <c r="E260" s="6" t="s">
        <v>85</v>
      </c>
      <c r="F260" s="10">
        <v>2</v>
      </c>
      <c r="G260" s="7">
        <v>94</v>
      </c>
      <c r="H260" s="7">
        <v>188</v>
      </c>
      <c r="I260" s="1" t="str">
        <f>HYPERLINK("http://slimages.macys.com/is/image/MCY/9649015 ")</f>
        <v xml:space="preserve">http://slimages.macys.com/is/image/MCY/9649015 </v>
      </c>
    </row>
    <row r="261" spans="1:9" x14ac:dyDescent="0.2">
      <c r="A261" s="3">
        <v>11288570</v>
      </c>
      <c r="B261" s="3">
        <v>636206503863</v>
      </c>
      <c r="C261" s="5" t="s">
        <v>399</v>
      </c>
      <c r="D261" s="4" t="s">
        <v>81</v>
      </c>
      <c r="E261" s="6" t="s">
        <v>85</v>
      </c>
      <c r="F261" s="10">
        <v>1</v>
      </c>
      <c r="G261" s="7">
        <v>89.5</v>
      </c>
      <c r="H261" s="7">
        <v>89.5</v>
      </c>
      <c r="I261" s="1" t="str">
        <f>HYPERLINK("http://slimages.macys.com/is/image/MCY/9372470 ")</f>
        <v xml:space="preserve">http://slimages.macys.com/is/image/MCY/9372470 </v>
      </c>
    </row>
    <row r="262" spans="1:9" x14ac:dyDescent="0.2">
      <c r="A262" s="3">
        <v>11288570</v>
      </c>
      <c r="B262" s="3">
        <v>889298155186</v>
      </c>
      <c r="C262" s="5" t="s">
        <v>400</v>
      </c>
      <c r="D262" s="4" t="s">
        <v>94</v>
      </c>
      <c r="E262" s="6" t="s">
        <v>85</v>
      </c>
      <c r="F262" s="10">
        <v>1</v>
      </c>
      <c r="G262" s="7">
        <v>89</v>
      </c>
      <c r="H262" s="7">
        <v>89</v>
      </c>
      <c r="I262" s="1" t="str">
        <f>HYPERLINK("http://slimages.macys.com/is/image/MCY/8914794 ")</f>
        <v xml:space="preserve">http://slimages.macys.com/is/image/MCY/8914794 </v>
      </c>
    </row>
    <row r="263" spans="1:9" x14ac:dyDescent="0.2">
      <c r="A263" s="3">
        <v>11288570</v>
      </c>
      <c r="B263" s="3">
        <v>888188333321</v>
      </c>
      <c r="C263" s="5" t="s">
        <v>401</v>
      </c>
      <c r="D263" s="4" t="s">
        <v>402</v>
      </c>
      <c r="E263" s="6" t="s">
        <v>85</v>
      </c>
      <c r="F263" s="10">
        <v>1</v>
      </c>
      <c r="G263" s="7">
        <v>88</v>
      </c>
      <c r="H263" s="7">
        <v>88</v>
      </c>
      <c r="I263" s="1" t="str">
        <f>HYPERLINK("http://slimages.macys.com/is/image/MCY/8716804 ")</f>
        <v xml:space="preserve">http://slimages.macys.com/is/image/MCY/8716804 </v>
      </c>
    </row>
    <row r="264" spans="1:9" x14ac:dyDescent="0.2">
      <c r="A264" s="3">
        <v>11288570</v>
      </c>
      <c r="B264" s="3">
        <v>888188260184</v>
      </c>
      <c r="C264" s="5" t="s">
        <v>403</v>
      </c>
      <c r="D264" s="4" t="s">
        <v>81</v>
      </c>
      <c r="E264" s="6" t="s">
        <v>85</v>
      </c>
      <c r="F264" s="10">
        <v>1</v>
      </c>
      <c r="G264" s="7">
        <v>88</v>
      </c>
      <c r="H264" s="7">
        <v>88</v>
      </c>
      <c r="I264" s="1" t="str">
        <f>HYPERLINK("http://slimages.macys.com/is/image/MCY/8716804 ")</f>
        <v xml:space="preserve">http://slimages.macys.com/is/image/MCY/8716804 </v>
      </c>
    </row>
    <row r="265" spans="1:9" x14ac:dyDescent="0.2">
      <c r="A265" s="3">
        <v>11288570</v>
      </c>
      <c r="B265" s="3">
        <v>889487356073</v>
      </c>
      <c r="C265" s="5" t="s">
        <v>404</v>
      </c>
      <c r="D265" s="4" t="s">
        <v>81</v>
      </c>
      <c r="E265" s="6" t="s">
        <v>85</v>
      </c>
      <c r="F265" s="10">
        <v>1</v>
      </c>
      <c r="G265" s="7">
        <v>88</v>
      </c>
      <c r="H265" s="7">
        <v>88</v>
      </c>
      <c r="I265" s="1" t="str">
        <f>HYPERLINK("http://slimages.macys.com/is/image/MCY/9318957 ")</f>
        <v xml:space="preserve">http://slimages.macys.com/is/image/MCY/9318957 </v>
      </c>
    </row>
    <row r="266" spans="1:9" x14ac:dyDescent="0.2">
      <c r="A266" s="3">
        <v>11288570</v>
      </c>
      <c r="B266" s="3">
        <v>889487296829</v>
      </c>
      <c r="C266" s="5" t="s">
        <v>405</v>
      </c>
      <c r="D266" s="4" t="s">
        <v>96</v>
      </c>
      <c r="E266" s="6" t="s">
        <v>85</v>
      </c>
      <c r="F266" s="10">
        <v>3</v>
      </c>
      <c r="G266" s="7">
        <v>88</v>
      </c>
      <c r="H266" s="7">
        <v>264</v>
      </c>
      <c r="I266" s="1" t="str">
        <f>HYPERLINK("http://slimages.macys.com/is/image/MCY/8869381 ")</f>
        <v xml:space="preserve">http://slimages.macys.com/is/image/MCY/8869381 </v>
      </c>
    </row>
    <row r="267" spans="1:9" x14ac:dyDescent="0.2">
      <c r="A267" s="3">
        <v>11288570</v>
      </c>
      <c r="B267" s="3">
        <v>889487296812</v>
      </c>
      <c r="C267" s="5" t="s">
        <v>406</v>
      </c>
      <c r="D267" s="4" t="s">
        <v>81</v>
      </c>
      <c r="E267" s="6" t="s">
        <v>85</v>
      </c>
      <c r="F267" s="10">
        <v>1</v>
      </c>
      <c r="G267" s="7">
        <v>88</v>
      </c>
      <c r="H267" s="7">
        <v>88</v>
      </c>
      <c r="I267" s="1" t="str">
        <f>HYPERLINK("http://slimages.macys.com/is/image/MCY/8869381 ")</f>
        <v xml:space="preserve">http://slimages.macys.com/is/image/MCY/8869381 </v>
      </c>
    </row>
    <row r="268" spans="1:9" x14ac:dyDescent="0.2">
      <c r="A268" s="3">
        <v>11288570</v>
      </c>
      <c r="B268" s="3">
        <v>889487371229</v>
      </c>
      <c r="C268" s="5" t="s">
        <v>407</v>
      </c>
      <c r="D268" s="4" t="s">
        <v>81</v>
      </c>
      <c r="E268" s="6" t="s">
        <v>85</v>
      </c>
      <c r="F268" s="10">
        <v>1</v>
      </c>
      <c r="G268" s="7">
        <v>88</v>
      </c>
      <c r="H268" s="7">
        <v>88</v>
      </c>
      <c r="I268" s="1" t="str">
        <f>HYPERLINK("http://slimages.macys.com/is/image/MCY/9578442 ")</f>
        <v xml:space="preserve">http://slimages.macys.com/is/image/MCY/9578442 </v>
      </c>
    </row>
    <row r="269" spans="1:9" x14ac:dyDescent="0.2">
      <c r="A269" s="3">
        <v>11288570</v>
      </c>
      <c r="B269" s="3">
        <v>889487304128</v>
      </c>
      <c r="C269" s="5" t="s">
        <v>408</v>
      </c>
      <c r="D269" s="4" t="s">
        <v>81</v>
      </c>
      <c r="E269" s="6" t="s">
        <v>85</v>
      </c>
      <c r="F269" s="10">
        <v>1</v>
      </c>
      <c r="G269" s="7">
        <v>88</v>
      </c>
      <c r="H269" s="7">
        <v>88</v>
      </c>
      <c r="I269" s="1" t="str">
        <f>HYPERLINK("http://slimages.macys.com/is/image/MCY/8869478 ")</f>
        <v xml:space="preserve">http://slimages.macys.com/is/image/MCY/8869478 </v>
      </c>
    </row>
    <row r="270" spans="1:9" x14ac:dyDescent="0.2">
      <c r="A270" s="3">
        <v>11288570</v>
      </c>
      <c r="B270" s="3">
        <v>889487302193</v>
      </c>
      <c r="C270" s="5" t="s">
        <v>409</v>
      </c>
      <c r="D270" s="4" t="s">
        <v>205</v>
      </c>
      <c r="E270" s="6" t="s">
        <v>85</v>
      </c>
      <c r="F270" s="10">
        <v>5</v>
      </c>
      <c r="G270" s="7">
        <v>88</v>
      </c>
      <c r="H270" s="7">
        <v>440</v>
      </c>
      <c r="I270" s="1" t="str">
        <f>HYPERLINK("http://slimages.macys.com/is/image/MCY/8994756 ")</f>
        <v xml:space="preserve">http://slimages.macys.com/is/image/MCY/8994756 </v>
      </c>
    </row>
    <row r="271" spans="1:9" x14ac:dyDescent="0.2">
      <c r="A271" s="3">
        <v>11288570</v>
      </c>
      <c r="B271" s="3">
        <v>747542242795</v>
      </c>
      <c r="C271" s="5" t="s">
        <v>410</v>
      </c>
      <c r="D271" s="4" t="s">
        <v>100</v>
      </c>
      <c r="E271" s="6" t="s">
        <v>85</v>
      </c>
      <c r="F271" s="10">
        <v>2</v>
      </c>
      <c r="G271" s="7">
        <v>84.58</v>
      </c>
      <c r="H271" s="7">
        <v>169.16</v>
      </c>
      <c r="I271" s="1" t="str">
        <f>HYPERLINK("http://slimages.macys.com/is/image/MCY/9446750 ")</f>
        <v xml:space="preserve">http://slimages.macys.com/is/image/MCY/9446750 </v>
      </c>
    </row>
    <row r="272" spans="1:9" x14ac:dyDescent="0.2">
      <c r="A272" s="3">
        <v>11288570</v>
      </c>
      <c r="B272" s="3">
        <v>747542241262</v>
      </c>
      <c r="C272" s="5" t="s">
        <v>411</v>
      </c>
      <c r="D272" s="4" t="s">
        <v>412</v>
      </c>
      <c r="E272" s="6" t="s">
        <v>85</v>
      </c>
      <c r="F272" s="10">
        <v>1</v>
      </c>
      <c r="G272" s="7">
        <v>83.7</v>
      </c>
      <c r="H272" s="7">
        <v>83.7</v>
      </c>
      <c r="I272" s="1" t="str">
        <f>HYPERLINK("http://slimages.macys.com/is/image/MCY/9487803 ")</f>
        <v xml:space="preserve">http://slimages.macys.com/is/image/MCY/9487803 </v>
      </c>
    </row>
    <row r="273" spans="1:9" x14ac:dyDescent="0.2">
      <c r="A273" s="3">
        <v>11288570</v>
      </c>
      <c r="B273" s="3">
        <v>191262368929</v>
      </c>
      <c r="C273" s="5" t="s">
        <v>413</v>
      </c>
      <c r="D273" s="4" t="s">
        <v>81</v>
      </c>
      <c r="E273" s="6" t="s">
        <v>82</v>
      </c>
      <c r="F273" s="10">
        <v>1</v>
      </c>
      <c r="G273" s="7">
        <v>78</v>
      </c>
      <c r="H273" s="7">
        <v>78</v>
      </c>
      <c r="I273" s="1" t="str">
        <f>HYPERLINK("http://slimages.macys.com/is/image/MCY/8787276 ")</f>
        <v xml:space="preserve">http://slimages.macys.com/is/image/MCY/8787276 </v>
      </c>
    </row>
    <row r="274" spans="1:9" x14ac:dyDescent="0.2">
      <c r="A274" s="3">
        <v>11288570</v>
      </c>
      <c r="B274" s="3">
        <v>802892846038</v>
      </c>
      <c r="C274" s="5" t="s">
        <v>414</v>
      </c>
      <c r="D274" s="4" t="s">
        <v>235</v>
      </c>
      <c r="E274" s="6" t="s">
        <v>85</v>
      </c>
      <c r="F274" s="10">
        <v>1</v>
      </c>
      <c r="G274" s="7">
        <v>78</v>
      </c>
      <c r="H274" s="7">
        <v>78</v>
      </c>
      <c r="I274" s="1" t="str">
        <f>HYPERLINK("http://slimages.macys.com/is/image/MCY/9358164 ")</f>
        <v xml:space="preserve">http://slimages.macys.com/is/image/MCY/9358164 </v>
      </c>
    </row>
    <row r="275" spans="1:9" x14ac:dyDescent="0.2">
      <c r="A275" s="3">
        <v>11288570</v>
      </c>
      <c r="B275" s="3">
        <v>190231119456</v>
      </c>
      <c r="C275" s="5" t="s">
        <v>415</v>
      </c>
      <c r="D275" s="4" t="s">
        <v>355</v>
      </c>
      <c r="E275" s="6" t="s">
        <v>85</v>
      </c>
      <c r="F275" s="10">
        <v>1</v>
      </c>
      <c r="G275" s="7">
        <v>78</v>
      </c>
      <c r="H275" s="7">
        <v>78</v>
      </c>
      <c r="I275" s="1" t="str">
        <f>HYPERLINK("http://images.bloomingdales.com/is/image/BLM/9570605 ")</f>
        <v xml:space="preserve">http://images.bloomingdales.com/is/image/BLM/9570605 </v>
      </c>
    </row>
    <row r="276" spans="1:9" x14ac:dyDescent="0.2">
      <c r="A276" s="3">
        <v>11288570</v>
      </c>
      <c r="B276" s="3">
        <v>732437478151</v>
      </c>
      <c r="C276" s="5" t="s">
        <v>416</v>
      </c>
      <c r="D276" s="4" t="s">
        <v>417</v>
      </c>
      <c r="E276" s="6" t="s">
        <v>85</v>
      </c>
      <c r="F276" s="10">
        <v>1</v>
      </c>
      <c r="G276" s="7">
        <v>77</v>
      </c>
      <c r="H276" s="7">
        <v>77</v>
      </c>
      <c r="I276" s="1" t="str">
        <f>HYPERLINK("http://slimages.macys.com/is/image/MCY/9263233 ")</f>
        <v xml:space="preserve">http://slimages.macys.com/is/image/MCY/9263233 </v>
      </c>
    </row>
    <row r="277" spans="1:9" x14ac:dyDescent="0.2">
      <c r="A277" s="3">
        <v>11288570</v>
      </c>
      <c r="B277" s="3">
        <v>191202468658</v>
      </c>
      <c r="C277" s="5" t="s">
        <v>418</v>
      </c>
      <c r="D277" s="4" t="s">
        <v>419</v>
      </c>
      <c r="E277" s="6" t="s">
        <v>173</v>
      </c>
      <c r="F277" s="10">
        <v>1</v>
      </c>
      <c r="G277" s="7">
        <v>75</v>
      </c>
      <c r="H277" s="7">
        <v>75</v>
      </c>
      <c r="I277" s="1" t="str">
        <f>HYPERLINK("http://slimages.macys.com/is/image/MCY/9500305 ")</f>
        <v xml:space="preserve">http://slimages.macys.com/is/image/MCY/9500305 </v>
      </c>
    </row>
    <row r="278" spans="1:9" x14ac:dyDescent="0.2">
      <c r="A278" s="3">
        <v>11288570</v>
      </c>
      <c r="B278" s="3">
        <v>191202217799</v>
      </c>
      <c r="C278" s="5" t="s">
        <v>420</v>
      </c>
      <c r="D278" s="4" t="s">
        <v>355</v>
      </c>
      <c r="E278" s="6" t="s">
        <v>82</v>
      </c>
      <c r="F278" s="10">
        <v>1</v>
      </c>
      <c r="G278" s="7">
        <v>75</v>
      </c>
      <c r="H278" s="7">
        <v>75</v>
      </c>
      <c r="I278" s="1" t="str">
        <f>HYPERLINK("http://slimages.macys.com/is/image/MCY/9249252 ")</f>
        <v xml:space="preserve">http://slimages.macys.com/is/image/MCY/9249252 </v>
      </c>
    </row>
    <row r="279" spans="1:9" x14ac:dyDescent="0.2">
      <c r="A279" s="3">
        <v>11288570</v>
      </c>
      <c r="B279" s="3">
        <v>723764551433</v>
      </c>
      <c r="C279" s="5" t="s">
        <v>421</v>
      </c>
      <c r="D279" s="4" t="s">
        <v>422</v>
      </c>
      <c r="E279" s="6" t="s">
        <v>82</v>
      </c>
      <c r="F279" s="10">
        <v>1</v>
      </c>
      <c r="G279" s="7">
        <v>75</v>
      </c>
      <c r="H279" s="7">
        <v>75</v>
      </c>
      <c r="I279" s="1" t="str">
        <f>HYPERLINK("http://slimages.macys.com/is/image/MCY/8965232 ")</f>
        <v xml:space="preserve">http://slimages.macys.com/is/image/MCY/8965232 </v>
      </c>
    </row>
    <row r="280" spans="1:9" x14ac:dyDescent="0.2">
      <c r="A280" s="3">
        <v>11288570</v>
      </c>
      <c r="B280" s="3">
        <v>5025546386772</v>
      </c>
      <c r="C280" s="5" t="s">
        <v>423</v>
      </c>
      <c r="D280" s="4" t="s">
        <v>107</v>
      </c>
      <c r="E280" s="6"/>
      <c r="F280" s="10">
        <v>1</v>
      </c>
      <c r="G280" s="7">
        <v>75</v>
      </c>
      <c r="H280" s="7">
        <v>75</v>
      </c>
      <c r="I280" s="1" t="str">
        <f>HYPERLINK("http://slimages.macys.com/is/image/MCY/9347276 ")</f>
        <v xml:space="preserve">http://slimages.macys.com/is/image/MCY/9347276 </v>
      </c>
    </row>
    <row r="281" spans="1:9" x14ac:dyDescent="0.2">
      <c r="A281" s="3">
        <v>11288570</v>
      </c>
      <c r="B281" s="3">
        <v>711640588093</v>
      </c>
      <c r="C281" s="5" t="s">
        <v>424</v>
      </c>
      <c r="D281" s="4" t="s">
        <v>115</v>
      </c>
      <c r="E281" s="6" t="s">
        <v>82</v>
      </c>
      <c r="F281" s="10">
        <v>1</v>
      </c>
      <c r="G281" s="7">
        <v>74.25</v>
      </c>
      <c r="H281" s="7">
        <v>74.25</v>
      </c>
      <c r="I281" s="1" t="str">
        <f>HYPERLINK("http://slimages.macys.com/is/image/MCY/9739693 ")</f>
        <v xml:space="preserve">http://slimages.macys.com/is/image/MCY/9739693 </v>
      </c>
    </row>
    <row r="282" spans="1:9" x14ac:dyDescent="0.2">
      <c r="A282" s="3">
        <v>11288570</v>
      </c>
      <c r="B282" s="3">
        <v>711640566534</v>
      </c>
      <c r="C282" s="5" t="s">
        <v>226</v>
      </c>
      <c r="D282" s="4" t="s">
        <v>103</v>
      </c>
      <c r="E282" s="6" t="s">
        <v>82</v>
      </c>
      <c r="F282" s="10">
        <v>1</v>
      </c>
      <c r="G282" s="7">
        <v>74.25</v>
      </c>
      <c r="H282" s="7">
        <v>74.25</v>
      </c>
      <c r="I282" s="1" t="str">
        <f>HYPERLINK("http://slimages.macys.com/is/image/MCY/9432396 ")</f>
        <v xml:space="preserve">http://slimages.macys.com/is/image/MCY/9432396 </v>
      </c>
    </row>
    <row r="283" spans="1:9" x14ac:dyDescent="0.2">
      <c r="A283" s="3">
        <v>11288570</v>
      </c>
      <c r="B283" s="3">
        <v>711640593653</v>
      </c>
      <c r="C283" s="5" t="s">
        <v>425</v>
      </c>
      <c r="D283" s="4" t="s">
        <v>103</v>
      </c>
      <c r="E283" s="6" t="s">
        <v>82</v>
      </c>
      <c r="F283" s="10">
        <v>1</v>
      </c>
      <c r="G283" s="7">
        <v>74.25</v>
      </c>
      <c r="H283" s="7">
        <v>74.25</v>
      </c>
      <c r="I283" s="1" t="str">
        <f>HYPERLINK("http://slimages.macys.com/is/image/MCY/9728744 ")</f>
        <v xml:space="preserve">http://slimages.macys.com/is/image/MCY/9728744 </v>
      </c>
    </row>
    <row r="284" spans="1:9" x14ac:dyDescent="0.2">
      <c r="A284" s="3">
        <v>11288570</v>
      </c>
      <c r="B284" s="3">
        <v>711640593639</v>
      </c>
      <c r="C284" s="5" t="s">
        <v>227</v>
      </c>
      <c r="D284" s="4" t="s">
        <v>94</v>
      </c>
      <c r="E284" s="6" t="s">
        <v>82</v>
      </c>
      <c r="F284" s="10">
        <v>1</v>
      </c>
      <c r="G284" s="7">
        <v>74.25</v>
      </c>
      <c r="H284" s="7">
        <v>74.25</v>
      </c>
      <c r="I284" s="1" t="str">
        <f>HYPERLINK("http://slimages.macys.com/is/image/MCY/9728744 ")</f>
        <v xml:space="preserve">http://slimages.macys.com/is/image/MCY/9728744 </v>
      </c>
    </row>
    <row r="285" spans="1:9" x14ac:dyDescent="0.2">
      <c r="A285" s="3">
        <v>11288570</v>
      </c>
      <c r="B285" s="3">
        <v>745021907753</v>
      </c>
      <c r="C285" s="5" t="s">
        <v>426</v>
      </c>
      <c r="D285" s="4" t="s">
        <v>238</v>
      </c>
      <c r="E285" s="6" t="s">
        <v>85</v>
      </c>
      <c r="F285" s="10">
        <v>1</v>
      </c>
      <c r="G285" s="7">
        <v>69.22</v>
      </c>
      <c r="H285" s="7">
        <v>69.22</v>
      </c>
      <c r="I285" s="1" t="str">
        <f>HYPERLINK("http://slimages.macys.com/is/image/MCY/9789323 ")</f>
        <v xml:space="preserve">http://slimages.macys.com/is/image/MCY/9789323 </v>
      </c>
    </row>
    <row r="286" spans="1:9" x14ac:dyDescent="0.2">
      <c r="A286" s="3">
        <v>11288570</v>
      </c>
      <c r="B286" s="3">
        <v>745021257889</v>
      </c>
      <c r="C286" s="5" t="s">
        <v>427</v>
      </c>
      <c r="D286" s="4" t="s">
        <v>81</v>
      </c>
      <c r="E286" s="6" t="s">
        <v>85</v>
      </c>
      <c r="F286" s="10">
        <v>1</v>
      </c>
      <c r="G286" s="7">
        <v>69.22</v>
      </c>
      <c r="H286" s="7">
        <v>69.22</v>
      </c>
      <c r="I286" s="1" t="str">
        <f>HYPERLINK("http://slimages.macys.com/is/image/MCY/9657908 ")</f>
        <v xml:space="preserve">http://slimages.macys.com/is/image/MCY/9657908 </v>
      </c>
    </row>
    <row r="287" spans="1:9" x14ac:dyDescent="0.2">
      <c r="A287" s="3">
        <v>11288570</v>
      </c>
      <c r="B287" s="3">
        <v>887986109794</v>
      </c>
      <c r="C287" s="5" t="s">
        <v>428</v>
      </c>
      <c r="D287" s="4" t="s">
        <v>184</v>
      </c>
      <c r="E287" s="6" t="s">
        <v>85</v>
      </c>
      <c r="F287" s="10">
        <v>1</v>
      </c>
      <c r="G287" s="7">
        <v>69</v>
      </c>
      <c r="H287" s="7">
        <v>69</v>
      </c>
      <c r="I287" s="1" t="str">
        <f>HYPERLINK("http://slimages.macys.com/is/image/MCY/9551244 ")</f>
        <v xml:space="preserve">http://slimages.macys.com/is/image/MCY/9551244 </v>
      </c>
    </row>
    <row r="288" spans="1:9" x14ac:dyDescent="0.2">
      <c r="A288" s="3">
        <v>11288570</v>
      </c>
      <c r="B288" s="3">
        <v>887986027067</v>
      </c>
      <c r="C288" s="5" t="s">
        <v>429</v>
      </c>
      <c r="D288" s="4" t="s">
        <v>205</v>
      </c>
      <c r="E288" s="6" t="s">
        <v>85</v>
      </c>
      <c r="F288" s="10">
        <v>1</v>
      </c>
      <c r="G288" s="7">
        <v>69</v>
      </c>
      <c r="H288" s="7">
        <v>69</v>
      </c>
      <c r="I288" s="1" t="str">
        <f>HYPERLINK("http://slimages.macys.com/is/image/MCY/8225186 ")</f>
        <v xml:space="preserve">http://slimages.macys.com/is/image/MCY/8225186 </v>
      </c>
    </row>
    <row r="289" spans="1:9" x14ac:dyDescent="0.2">
      <c r="A289" s="3">
        <v>11288570</v>
      </c>
      <c r="B289" s="3">
        <v>882256375657</v>
      </c>
      <c r="C289" s="5" t="s">
        <v>430</v>
      </c>
      <c r="D289" s="4" t="s">
        <v>238</v>
      </c>
      <c r="E289" s="6" t="s">
        <v>85</v>
      </c>
      <c r="F289" s="10">
        <v>1</v>
      </c>
      <c r="G289" s="7">
        <v>69</v>
      </c>
      <c r="H289" s="7">
        <v>69</v>
      </c>
      <c r="I289" s="1" t="str">
        <f>HYPERLINK("http://slimages.macys.com/is/image/MCY/9905319 ")</f>
        <v xml:space="preserve">http://slimages.macys.com/is/image/MCY/9905319 </v>
      </c>
    </row>
    <row r="290" spans="1:9" x14ac:dyDescent="0.2">
      <c r="A290" s="3">
        <v>11288570</v>
      </c>
      <c r="B290" s="3">
        <v>882256360257</v>
      </c>
      <c r="C290" s="5" t="s">
        <v>431</v>
      </c>
      <c r="D290" s="4" t="s">
        <v>158</v>
      </c>
      <c r="E290" s="6" t="s">
        <v>85</v>
      </c>
      <c r="F290" s="10">
        <v>1</v>
      </c>
      <c r="G290" s="7">
        <v>69</v>
      </c>
      <c r="H290" s="7">
        <v>69</v>
      </c>
      <c r="I290" s="1" t="str">
        <f>HYPERLINK("http://slimages.macys.com/is/image/MCY/9759030 ")</f>
        <v xml:space="preserve">http://slimages.macys.com/is/image/MCY/9759030 </v>
      </c>
    </row>
    <row r="291" spans="1:9" x14ac:dyDescent="0.2">
      <c r="A291" s="3">
        <v>11288570</v>
      </c>
      <c r="B291" s="3">
        <v>887986053431</v>
      </c>
      <c r="C291" s="5" t="s">
        <v>432</v>
      </c>
      <c r="D291" s="4" t="s">
        <v>81</v>
      </c>
      <c r="E291" s="6" t="s">
        <v>85</v>
      </c>
      <c r="F291" s="10">
        <v>1</v>
      </c>
      <c r="G291" s="7">
        <v>69</v>
      </c>
      <c r="H291" s="7">
        <v>69</v>
      </c>
      <c r="I291" s="1" t="str">
        <f>HYPERLINK("http://slimages.macys.com/is/image/MCY/3878882 ")</f>
        <v xml:space="preserve">http://slimages.macys.com/is/image/MCY/3878882 </v>
      </c>
    </row>
    <row r="292" spans="1:9" x14ac:dyDescent="0.2">
      <c r="A292" s="3">
        <v>11288570</v>
      </c>
      <c r="B292" s="3">
        <v>719220869860</v>
      </c>
      <c r="C292" s="5" t="s">
        <v>433</v>
      </c>
      <c r="D292" s="4" t="s">
        <v>103</v>
      </c>
      <c r="E292" s="6" t="s">
        <v>85</v>
      </c>
      <c r="F292" s="10">
        <v>1</v>
      </c>
      <c r="G292" s="7">
        <v>68</v>
      </c>
      <c r="H292" s="7">
        <v>68</v>
      </c>
      <c r="I292" s="1" t="str">
        <f>HYPERLINK("http://slimages.macys.com/is/image/MCY/8880328 ")</f>
        <v xml:space="preserve">http://slimages.macys.com/is/image/MCY/8880328 </v>
      </c>
    </row>
    <row r="293" spans="1:9" x14ac:dyDescent="0.2">
      <c r="A293" s="3">
        <v>11288570</v>
      </c>
      <c r="B293" s="3">
        <v>191262372056</v>
      </c>
      <c r="C293" s="5" t="s">
        <v>434</v>
      </c>
      <c r="D293" s="4" t="s">
        <v>158</v>
      </c>
      <c r="E293" s="6" t="s">
        <v>82</v>
      </c>
      <c r="F293" s="10">
        <v>1</v>
      </c>
      <c r="G293" s="7">
        <v>68</v>
      </c>
      <c r="H293" s="7">
        <v>68</v>
      </c>
      <c r="I293" s="1" t="str">
        <f>HYPERLINK("http://slimages.macys.com/is/image/MCY/8746448 ")</f>
        <v xml:space="preserve">http://slimages.macys.com/is/image/MCY/8746448 </v>
      </c>
    </row>
    <row r="294" spans="1:9" x14ac:dyDescent="0.2">
      <c r="A294" s="3">
        <v>11288570</v>
      </c>
      <c r="B294" s="3">
        <v>191935087294</v>
      </c>
      <c r="C294" s="5" t="s">
        <v>435</v>
      </c>
      <c r="D294" s="4" t="s">
        <v>81</v>
      </c>
      <c r="E294" s="6" t="s">
        <v>82</v>
      </c>
      <c r="F294" s="10">
        <v>1</v>
      </c>
      <c r="G294" s="7">
        <v>68</v>
      </c>
      <c r="H294" s="7">
        <v>68</v>
      </c>
      <c r="I294" s="1" t="str">
        <f>HYPERLINK("http://slimages.macys.com/is/image/MCY/9050923 ")</f>
        <v xml:space="preserve">http://slimages.macys.com/is/image/MCY/9050923 </v>
      </c>
    </row>
    <row r="295" spans="1:9" x14ac:dyDescent="0.2">
      <c r="A295" s="3">
        <v>11288570</v>
      </c>
      <c r="B295" s="3">
        <v>190231041047</v>
      </c>
      <c r="C295" s="5" t="s">
        <v>436</v>
      </c>
      <c r="D295" s="4" t="s">
        <v>109</v>
      </c>
      <c r="E295" s="6" t="s">
        <v>85</v>
      </c>
      <c r="F295" s="10">
        <v>1</v>
      </c>
      <c r="G295" s="7">
        <v>68</v>
      </c>
      <c r="H295" s="7">
        <v>68</v>
      </c>
      <c r="I295" s="1" t="str">
        <f>HYPERLINK("http://slimages.macys.com/is/image/MCY/8332443 ")</f>
        <v xml:space="preserve">http://slimages.macys.com/is/image/MCY/8332443 </v>
      </c>
    </row>
    <row r="296" spans="1:9" x14ac:dyDescent="0.2">
      <c r="A296" s="3">
        <v>11288570</v>
      </c>
      <c r="B296" s="3">
        <v>740348981677</v>
      </c>
      <c r="C296" s="5" t="s">
        <v>437</v>
      </c>
      <c r="D296" s="4" t="s">
        <v>100</v>
      </c>
      <c r="E296" s="6" t="s">
        <v>85</v>
      </c>
      <c r="F296" s="10">
        <v>1</v>
      </c>
      <c r="G296" s="7">
        <v>61.44</v>
      </c>
      <c r="H296" s="7">
        <v>61.44</v>
      </c>
      <c r="I296" s="1" t="str">
        <f>HYPERLINK("http://slimages.macys.com/is/image/MCY/9488980 ")</f>
        <v xml:space="preserve">http://slimages.macys.com/is/image/MCY/9488980 </v>
      </c>
    </row>
    <row r="297" spans="1:9" x14ac:dyDescent="0.2">
      <c r="A297" s="3">
        <v>11288570</v>
      </c>
      <c r="B297" s="3">
        <v>740348981684</v>
      </c>
      <c r="C297" s="5" t="s">
        <v>438</v>
      </c>
      <c r="D297" s="4" t="s">
        <v>135</v>
      </c>
      <c r="E297" s="6" t="s">
        <v>85</v>
      </c>
      <c r="F297" s="10">
        <v>1</v>
      </c>
      <c r="G297" s="7">
        <v>61.44</v>
      </c>
      <c r="H297" s="7">
        <v>61.44</v>
      </c>
      <c r="I297" s="1" t="str">
        <f>HYPERLINK("http://slimages.macys.com/is/image/MCY/9488980 ")</f>
        <v xml:space="preserve">http://slimages.macys.com/is/image/MCY/9488980 </v>
      </c>
    </row>
    <row r="298" spans="1:9" x14ac:dyDescent="0.2">
      <c r="A298" s="3">
        <v>11288570</v>
      </c>
      <c r="B298" s="3">
        <v>711640595633</v>
      </c>
      <c r="C298" s="5" t="s">
        <v>248</v>
      </c>
      <c r="D298" s="4" t="s">
        <v>235</v>
      </c>
      <c r="E298" s="6" t="s">
        <v>82</v>
      </c>
      <c r="F298" s="10">
        <v>1</v>
      </c>
      <c r="G298" s="7">
        <v>59.25</v>
      </c>
      <c r="H298" s="7">
        <v>59.25</v>
      </c>
      <c r="I298" s="1" t="str">
        <f>HYPERLINK("http://slimages.macys.com/is/image/MCY/9504164 ")</f>
        <v xml:space="preserve">http://slimages.macys.com/is/image/MCY/9504164 </v>
      </c>
    </row>
    <row r="299" spans="1:9" x14ac:dyDescent="0.2">
      <c r="A299" s="3">
        <v>11288570</v>
      </c>
      <c r="B299" s="3">
        <v>711640595497</v>
      </c>
      <c r="C299" s="5" t="s">
        <v>439</v>
      </c>
      <c r="D299" s="4" t="s">
        <v>100</v>
      </c>
      <c r="E299" s="6" t="s">
        <v>82</v>
      </c>
      <c r="F299" s="10">
        <v>1</v>
      </c>
      <c r="G299" s="7">
        <v>59.25</v>
      </c>
      <c r="H299" s="7">
        <v>59.25</v>
      </c>
      <c r="I299" s="1" t="str">
        <f>HYPERLINK("http://slimages.macys.com/is/image/MCY/9504476 ")</f>
        <v xml:space="preserve">http://slimages.macys.com/is/image/MCY/9504476 </v>
      </c>
    </row>
    <row r="300" spans="1:9" x14ac:dyDescent="0.2">
      <c r="A300" s="3">
        <v>11288570</v>
      </c>
      <c r="B300" s="3">
        <v>711640595510</v>
      </c>
      <c r="C300" s="5" t="s">
        <v>251</v>
      </c>
      <c r="D300" s="4" t="s">
        <v>103</v>
      </c>
      <c r="E300" s="6" t="s">
        <v>82</v>
      </c>
      <c r="F300" s="10">
        <v>2</v>
      </c>
      <c r="G300" s="7">
        <v>59.25</v>
      </c>
      <c r="H300" s="7">
        <v>118.5</v>
      </c>
      <c r="I300" s="1" t="str">
        <f>HYPERLINK("http://slimages.macys.com/is/image/MCY/9504476 ")</f>
        <v xml:space="preserve">http://slimages.macys.com/is/image/MCY/9504476 </v>
      </c>
    </row>
    <row r="301" spans="1:9" x14ac:dyDescent="0.2">
      <c r="A301" s="3">
        <v>11288570</v>
      </c>
      <c r="B301" s="3">
        <v>711640595473</v>
      </c>
      <c r="C301" s="5" t="s">
        <v>246</v>
      </c>
      <c r="D301" s="4" t="s">
        <v>103</v>
      </c>
      <c r="E301" s="6" t="s">
        <v>82</v>
      </c>
      <c r="F301" s="10">
        <v>3</v>
      </c>
      <c r="G301" s="7">
        <v>59.25</v>
      </c>
      <c r="H301" s="7">
        <v>177.75</v>
      </c>
      <c r="I301" s="1" t="str">
        <f>HYPERLINK("http://slimages.macys.com/is/image/MCY/9504164 ")</f>
        <v xml:space="preserve">http://slimages.macys.com/is/image/MCY/9504164 </v>
      </c>
    </row>
    <row r="302" spans="1:9" x14ac:dyDescent="0.2">
      <c r="A302" s="3">
        <v>11288570</v>
      </c>
      <c r="B302" s="3">
        <v>190049702659</v>
      </c>
      <c r="C302" s="5" t="s">
        <v>440</v>
      </c>
      <c r="D302" s="4" t="s">
        <v>87</v>
      </c>
      <c r="E302" s="6" t="s">
        <v>82</v>
      </c>
      <c r="F302" s="10">
        <v>1</v>
      </c>
      <c r="G302" s="7">
        <v>58.11</v>
      </c>
      <c r="H302" s="7">
        <v>58.11</v>
      </c>
      <c r="I302" s="1" t="str">
        <f>HYPERLINK("http://slimages.macys.com/is/image/MCY/3891025 ")</f>
        <v xml:space="preserve">http://slimages.macys.com/is/image/MCY/3891025 </v>
      </c>
    </row>
    <row r="303" spans="1:9" x14ac:dyDescent="0.2">
      <c r="A303" s="3">
        <v>11288570</v>
      </c>
      <c r="B303" s="3">
        <v>889487310334</v>
      </c>
      <c r="C303" s="5" t="s">
        <v>441</v>
      </c>
      <c r="D303" s="4" t="s">
        <v>172</v>
      </c>
      <c r="E303" s="6" t="s">
        <v>85</v>
      </c>
      <c r="F303" s="10">
        <v>4</v>
      </c>
      <c r="G303" s="7">
        <v>58</v>
      </c>
      <c r="H303" s="7">
        <v>232</v>
      </c>
      <c r="I303" s="1" t="str">
        <f>HYPERLINK("http://slimages.macys.com/is/image/MCY/8991894 ")</f>
        <v xml:space="preserve">http://slimages.macys.com/is/image/MCY/8991894 </v>
      </c>
    </row>
    <row r="304" spans="1:9" x14ac:dyDescent="0.2">
      <c r="A304" s="3">
        <v>11288570</v>
      </c>
      <c r="B304" s="3">
        <v>190231155768</v>
      </c>
      <c r="C304" s="5" t="s">
        <v>442</v>
      </c>
      <c r="D304" s="4" t="s">
        <v>184</v>
      </c>
      <c r="E304" s="6" t="s">
        <v>85</v>
      </c>
      <c r="F304" s="10">
        <v>2</v>
      </c>
      <c r="G304" s="7">
        <v>50</v>
      </c>
      <c r="H304" s="7">
        <v>100</v>
      </c>
      <c r="I304" s="1" t="str">
        <f>HYPERLINK("http://slimages.macys.com/is/image/MCY/9616312 ")</f>
        <v xml:space="preserve">http://slimages.macys.com/is/image/MCY/9616312 </v>
      </c>
    </row>
    <row r="305" spans="1:9" x14ac:dyDescent="0.2">
      <c r="A305" s="3">
        <v>11288570</v>
      </c>
      <c r="B305" s="3">
        <v>726895325201</v>
      </c>
      <c r="C305" s="5" t="s">
        <v>443</v>
      </c>
      <c r="D305" s="4" t="s">
        <v>155</v>
      </c>
      <c r="E305" s="6" t="s">
        <v>85</v>
      </c>
      <c r="F305" s="10">
        <v>1</v>
      </c>
      <c r="G305" s="7">
        <v>49.5</v>
      </c>
      <c r="H305" s="7">
        <v>49.5</v>
      </c>
      <c r="I305" s="1" t="str">
        <f>HYPERLINK("http://slimages.macys.com/is/image/MCY/9336395 ")</f>
        <v xml:space="preserve">http://slimages.macys.com/is/image/MCY/9336395 </v>
      </c>
    </row>
    <row r="306" spans="1:9" x14ac:dyDescent="0.2">
      <c r="A306" s="3">
        <v>11288570</v>
      </c>
      <c r="B306" s="3">
        <v>887986104546</v>
      </c>
      <c r="C306" s="5" t="s">
        <v>444</v>
      </c>
      <c r="D306" s="4" t="s">
        <v>153</v>
      </c>
      <c r="E306" s="6" t="s">
        <v>85</v>
      </c>
      <c r="F306" s="10">
        <v>1</v>
      </c>
      <c r="G306" s="7">
        <v>49</v>
      </c>
      <c r="H306" s="7">
        <v>49</v>
      </c>
      <c r="I306" s="1" t="str">
        <f>HYPERLINK("http://slimages.macys.com/is/image/MCY/10192577 ")</f>
        <v xml:space="preserve">http://slimages.macys.com/is/image/MCY/10192577 </v>
      </c>
    </row>
    <row r="307" spans="1:9" x14ac:dyDescent="0.2">
      <c r="A307" s="3">
        <v>11288570</v>
      </c>
      <c r="B307" s="3">
        <v>882256193206</v>
      </c>
      <c r="C307" s="5" t="s">
        <v>445</v>
      </c>
      <c r="D307" s="4" t="s">
        <v>103</v>
      </c>
      <c r="E307" s="6" t="s">
        <v>85</v>
      </c>
      <c r="F307" s="10">
        <v>1</v>
      </c>
      <c r="G307" s="7">
        <v>49</v>
      </c>
      <c r="H307" s="7">
        <v>49</v>
      </c>
      <c r="I307" s="1" t="str">
        <f>HYPERLINK("http://slimages.macys.com/is/image/MCY/9602897 ")</f>
        <v xml:space="preserve">http://slimages.macys.com/is/image/MCY/9602897 </v>
      </c>
    </row>
    <row r="308" spans="1:9" x14ac:dyDescent="0.2">
      <c r="A308" s="3">
        <v>11288570</v>
      </c>
      <c r="B308" s="3">
        <v>882256341133</v>
      </c>
      <c r="C308" s="5" t="s">
        <v>446</v>
      </c>
      <c r="D308" s="4"/>
      <c r="E308" s="6" t="s">
        <v>85</v>
      </c>
      <c r="F308" s="10">
        <v>2</v>
      </c>
      <c r="G308" s="7">
        <v>49</v>
      </c>
      <c r="H308" s="7">
        <v>98</v>
      </c>
      <c r="I308" s="1" t="str">
        <f>HYPERLINK("http://slimages.macys.com/is/image/MCY/9436950 ")</f>
        <v xml:space="preserve">http://slimages.macys.com/is/image/MCY/9436950 </v>
      </c>
    </row>
    <row r="309" spans="1:9" x14ac:dyDescent="0.2">
      <c r="A309" s="3">
        <v>11288570</v>
      </c>
      <c r="B309" s="3">
        <v>882256341102</v>
      </c>
      <c r="C309" s="5" t="s">
        <v>447</v>
      </c>
      <c r="D309" s="4" t="s">
        <v>89</v>
      </c>
      <c r="E309" s="6" t="s">
        <v>85</v>
      </c>
      <c r="F309" s="10">
        <v>1</v>
      </c>
      <c r="G309" s="7">
        <v>49</v>
      </c>
      <c r="H309" s="7">
        <v>49</v>
      </c>
      <c r="I309" s="1" t="str">
        <f>HYPERLINK("http://slimages.macys.com/is/image/MCY/9436950 ")</f>
        <v xml:space="preserve">http://slimages.macys.com/is/image/MCY/9436950 </v>
      </c>
    </row>
    <row r="310" spans="1:9" x14ac:dyDescent="0.2">
      <c r="A310" s="3">
        <v>11288570</v>
      </c>
      <c r="B310" s="3">
        <v>191797498344</v>
      </c>
      <c r="C310" s="5" t="s">
        <v>448</v>
      </c>
      <c r="D310" s="4" t="s">
        <v>96</v>
      </c>
      <c r="E310" s="6" t="s">
        <v>85</v>
      </c>
      <c r="F310" s="10">
        <v>1</v>
      </c>
      <c r="G310" s="7">
        <v>48</v>
      </c>
      <c r="H310" s="7">
        <v>48</v>
      </c>
      <c r="I310" s="1" t="str">
        <f>HYPERLINK("http://slimages.macys.com/is/image/MCY/9125602 ")</f>
        <v xml:space="preserve">http://slimages.macys.com/is/image/MCY/9125602 </v>
      </c>
    </row>
    <row r="311" spans="1:9" x14ac:dyDescent="0.2">
      <c r="A311" s="3">
        <v>11288570</v>
      </c>
      <c r="B311" s="3">
        <v>191202470668</v>
      </c>
      <c r="C311" s="5" t="s">
        <v>449</v>
      </c>
      <c r="D311" s="4" t="s">
        <v>235</v>
      </c>
      <c r="E311" s="6" t="s">
        <v>82</v>
      </c>
      <c r="F311" s="10">
        <v>2</v>
      </c>
      <c r="G311" s="7">
        <v>45</v>
      </c>
      <c r="H311" s="7">
        <v>90</v>
      </c>
      <c r="I311" s="1" t="str">
        <f>HYPERLINK("http://slimages.macys.com/is/image/MCY/9478113 ")</f>
        <v xml:space="preserve">http://slimages.macys.com/is/image/MCY/9478113 </v>
      </c>
    </row>
    <row r="312" spans="1:9" x14ac:dyDescent="0.2">
      <c r="A312" s="3">
        <v>11288570</v>
      </c>
      <c r="B312" s="3">
        <v>191202621558</v>
      </c>
      <c r="C312" s="5" t="s">
        <v>450</v>
      </c>
      <c r="D312" s="4" t="s">
        <v>103</v>
      </c>
      <c r="E312" s="6" t="s">
        <v>82</v>
      </c>
      <c r="F312" s="10">
        <v>1</v>
      </c>
      <c r="G312" s="7">
        <v>40</v>
      </c>
      <c r="H312" s="7">
        <v>40</v>
      </c>
      <c r="I312" s="1" t="str">
        <f>HYPERLINK("http://slimages.macys.com/is/image/MCY/9416297 ")</f>
        <v xml:space="preserve">http://slimages.macys.com/is/image/MCY/9416297 </v>
      </c>
    </row>
    <row r="313" spans="1:9" x14ac:dyDescent="0.2">
      <c r="A313" s="3">
        <v>11288570</v>
      </c>
      <c r="B313" s="3">
        <v>723764550429</v>
      </c>
      <c r="C313" s="5" t="s">
        <v>451</v>
      </c>
      <c r="D313" s="4" t="s">
        <v>260</v>
      </c>
      <c r="E313" s="6" t="s">
        <v>82</v>
      </c>
      <c r="F313" s="10">
        <v>1</v>
      </c>
      <c r="G313" s="7">
        <v>40</v>
      </c>
      <c r="H313" s="7">
        <v>40</v>
      </c>
      <c r="I313" s="1" t="str">
        <f>HYPERLINK("http://slimages.macys.com/is/image/MCY/8939442 ")</f>
        <v xml:space="preserve">http://slimages.macys.com/is/image/MCY/8939442 </v>
      </c>
    </row>
    <row r="314" spans="1:9" x14ac:dyDescent="0.2">
      <c r="A314" s="3">
        <v>11288570</v>
      </c>
      <c r="B314" s="3">
        <v>723764550412</v>
      </c>
      <c r="C314" s="5" t="s">
        <v>452</v>
      </c>
      <c r="D314" s="4" t="s">
        <v>422</v>
      </c>
      <c r="E314" s="6" t="s">
        <v>82</v>
      </c>
      <c r="F314" s="10">
        <v>1</v>
      </c>
      <c r="G314" s="7">
        <v>40</v>
      </c>
      <c r="H314" s="7">
        <v>40</v>
      </c>
      <c r="I314" s="1" t="str">
        <f>HYPERLINK("http://slimages.macys.com/is/image/MCY/8965144 ")</f>
        <v xml:space="preserve">http://slimages.macys.com/is/image/MCY/8965144 </v>
      </c>
    </row>
    <row r="315" spans="1:9" x14ac:dyDescent="0.2">
      <c r="A315" s="3">
        <v>11288570</v>
      </c>
      <c r="B315" s="3">
        <v>887986093307</v>
      </c>
      <c r="C315" s="5" t="s">
        <v>453</v>
      </c>
      <c r="D315" s="4" t="s">
        <v>454</v>
      </c>
      <c r="E315" s="6" t="s">
        <v>85</v>
      </c>
      <c r="F315" s="10">
        <v>1</v>
      </c>
      <c r="G315" s="7">
        <v>38</v>
      </c>
      <c r="H315" s="7">
        <v>38</v>
      </c>
      <c r="I315" s="1" t="str">
        <f>HYPERLINK("http://slimages.macys.com/is/image/MCY/9052818 ")</f>
        <v xml:space="preserve">http://slimages.macys.com/is/image/MCY/9052818 </v>
      </c>
    </row>
    <row r="316" spans="1:9" x14ac:dyDescent="0.2">
      <c r="A316" s="3">
        <v>11288570</v>
      </c>
      <c r="B316" s="3">
        <v>191202470033</v>
      </c>
      <c r="C316" s="5" t="s">
        <v>455</v>
      </c>
      <c r="D316" s="4" t="s">
        <v>100</v>
      </c>
      <c r="E316" s="6" t="s">
        <v>82</v>
      </c>
      <c r="F316" s="10">
        <v>2</v>
      </c>
      <c r="G316" s="7">
        <v>35</v>
      </c>
      <c r="H316" s="7">
        <v>70</v>
      </c>
      <c r="I316" s="1" t="str">
        <f>HYPERLINK("http://slimages.macys.com/is/image/MCY/9471806 ")</f>
        <v xml:space="preserve">http://slimages.macys.com/is/image/MCY/9471806 </v>
      </c>
    </row>
    <row r="317" spans="1:9" x14ac:dyDescent="0.2">
      <c r="A317" s="3">
        <v>11288570</v>
      </c>
      <c r="B317" s="3">
        <v>191202469969</v>
      </c>
      <c r="C317" s="5" t="s">
        <v>456</v>
      </c>
      <c r="D317" s="4" t="s">
        <v>100</v>
      </c>
      <c r="E317" s="6" t="s">
        <v>82</v>
      </c>
      <c r="F317" s="10">
        <v>2</v>
      </c>
      <c r="G317" s="7">
        <v>35</v>
      </c>
      <c r="H317" s="7">
        <v>70</v>
      </c>
      <c r="I317" s="1" t="str">
        <f>HYPERLINK("http://slimages.macys.com/is/image/MCY/9478108 ")</f>
        <v xml:space="preserve">http://slimages.macys.com/is/image/MCY/9478108 </v>
      </c>
    </row>
    <row r="318" spans="1:9" x14ac:dyDescent="0.2">
      <c r="A318" s="3">
        <v>11288570</v>
      </c>
      <c r="B318" s="3">
        <v>191202470224</v>
      </c>
      <c r="C318" s="5" t="s">
        <v>457</v>
      </c>
      <c r="D318" s="4" t="s">
        <v>94</v>
      </c>
      <c r="E318" s="6" t="s">
        <v>82</v>
      </c>
      <c r="F318" s="10">
        <v>2</v>
      </c>
      <c r="G318" s="7">
        <v>35</v>
      </c>
      <c r="H318" s="7">
        <v>70</v>
      </c>
      <c r="I318" s="1" t="str">
        <f>HYPERLINK("http://slimages.macys.com/is/image/MCY/9478106 ")</f>
        <v xml:space="preserve">http://slimages.macys.com/is/image/MCY/9478106 </v>
      </c>
    </row>
    <row r="319" spans="1:9" x14ac:dyDescent="0.2">
      <c r="A319" s="3">
        <v>11288570</v>
      </c>
      <c r="B319" s="3">
        <v>191202225817</v>
      </c>
      <c r="C319" s="5" t="s">
        <v>458</v>
      </c>
      <c r="D319" s="4" t="s">
        <v>81</v>
      </c>
      <c r="E319" s="6" t="s">
        <v>82</v>
      </c>
      <c r="F319" s="10">
        <v>1</v>
      </c>
      <c r="G319" s="7">
        <v>35</v>
      </c>
      <c r="H319" s="7">
        <v>35</v>
      </c>
      <c r="I319" s="1" t="str">
        <f>HYPERLINK("http://slimages.macys.com/is/image/MCY/9063793 ")</f>
        <v xml:space="preserve">http://slimages.macys.com/is/image/MCY/9063793 </v>
      </c>
    </row>
    <row r="320" spans="1:9" x14ac:dyDescent="0.2">
      <c r="A320" s="3">
        <v>11288570</v>
      </c>
      <c r="B320" s="3">
        <v>191202470699</v>
      </c>
      <c r="C320" s="5" t="s">
        <v>459</v>
      </c>
      <c r="D320" s="4" t="s">
        <v>94</v>
      </c>
      <c r="E320" s="6" t="s">
        <v>82</v>
      </c>
      <c r="F320" s="10">
        <v>1</v>
      </c>
      <c r="G320" s="7">
        <v>35</v>
      </c>
      <c r="H320" s="7">
        <v>35</v>
      </c>
      <c r="I320" s="1" t="str">
        <f>HYPERLINK("http://slimages.macys.com/is/image/MCY/9484881 ")</f>
        <v xml:space="preserve">http://slimages.macys.com/is/image/MCY/9484881 </v>
      </c>
    </row>
    <row r="321" spans="1:9" x14ac:dyDescent="0.2">
      <c r="A321" s="3">
        <v>11288570</v>
      </c>
      <c r="B321" s="3">
        <v>191202228443</v>
      </c>
      <c r="C321" s="5" t="s">
        <v>460</v>
      </c>
      <c r="D321" s="4" t="s">
        <v>454</v>
      </c>
      <c r="E321" s="6" t="s">
        <v>82</v>
      </c>
      <c r="F321" s="10">
        <v>2</v>
      </c>
      <c r="G321" s="7">
        <v>30</v>
      </c>
      <c r="H321" s="7">
        <v>60</v>
      </c>
      <c r="I321" s="1" t="str">
        <f t="shared" ref="I321:I326" si="0">HYPERLINK("http://slimages.macys.com/is/image/MCY/9062144 ")</f>
        <v xml:space="preserve">http://slimages.macys.com/is/image/MCY/9062144 </v>
      </c>
    </row>
    <row r="322" spans="1:9" x14ac:dyDescent="0.2">
      <c r="A322" s="3">
        <v>11288570</v>
      </c>
      <c r="B322" s="3">
        <v>191202226562</v>
      </c>
      <c r="C322" s="5" t="s">
        <v>461</v>
      </c>
      <c r="D322" s="4" t="s">
        <v>125</v>
      </c>
      <c r="E322" s="6" t="s">
        <v>82</v>
      </c>
      <c r="F322" s="10">
        <v>2</v>
      </c>
      <c r="G322" s="7">
        <v>30</v>
      </c>
      <c r="H322" s="7">
        <v>60</v>
      </c>
      <c r="I322" s="1" t="str">
        <f t="shared" si="0"/>
        <v xml:space="preserve">http://slimages.macys.com/is/image/MCY/9062144 </v>
      </c>
    </row>
    <row r="323" spans="1:9" x14ac:dyDescent="0.2">
      <c r="A323" s="3">
        <v>11288570</v>
      </c>
      <c r="B323" s="3">
        <v>191202228412</v>
      </c>
      <c r="C323" s="5" t="s">
        <v>462</v>
      </c>
      <c r="D323" s="4" t="s">
        <v>398</v>
      </c>
      <c r="E323" s="6" t="s">
        <v>82</v>
      </c>
      <c r="F323" s="10">
        <v>1</v>
      </c>
      <c r="G323" s="7">
        <v>30</v>
      </c>
      <c r="H323" s="7">
        <v>30</v>
      </c>
      <c r="I323" s="1" t="str">
        <f t="shared" si="0"/>
        <v xml:space="preserve">http://slimages.macys.com/is/image/MCY/9062144 </v>
      </c>
    </row>
    <row r="324" spans="1:9" x14ac:dyDescent="0.2">
      <c r="A324" s="3">
        <v>11288570</v>
      </c>
      <c r="B324" s="3">
        <v>191202228344</v>
      </c>
      <c r="C324" s="5" t="s">
        <v>282</v>
      </c>
      <c r="D324" s="4" t="s">
        <v>175</v>
      </c>
      <c r="E324" s="6" t="s">
        <v>82</v>
      </c>
      <c r="F324" s="10">
        <v>2</v>
      </c>
      <c r="G324" s="7">
        <v>30</v>
      </c>
      <c r="H324" s="7">
        <v>60</v>
      </c>
      <c r="I324" s="1" t="str">
        <f t="shared" si="0"/>
        <v xml:space="preserve">http://slimages.macys.com/is/image/MCY/9062144 </v>
      </c>
    </row>
    <row r="325" spans="1:9" x14ac:dyDescent="0.2">
      <c r="A325" s="3">
        <v>11288570</v>
      </c>
      <c r="B325" s="3">
        <v>191202228290</v>
      </c>
      <c r="C325" s="5" t="s">
        <v>463</v>
      </c>
      <c r="D325" s="4" t="s">
        <v>125</v>
      </c>
      <c r="E325" s="6" t="s">
        <v>82</v>
      </c>
      <c r="F325" s="10">
        <v>1</v>
      </c>
      <c r="G325" s="7">
        <v>30</v>
      </c>
      <c r="H325" s="7">
        <v>30</v>
      </c>
      <c r="I325" s="1" t="str">
        <f t="shared" si="0"/>
        <v xml:space="preserve">http://slimages.macys.com/is/image/MCY/9062144 </v>
      </c>
    </row>
    <row r="326" spans="1:9" x14ac:dyDescent="0.2">
      <c r="A326" s="3">
        <v>11288570</v>
      </c>
      <c r="B326" s="3">
        <v>191202235014</v>
      </c>
      <c r="C326" s="5" t="s">
        <v>464</v>
      </c>
      <c r="D326" s="4" t="s">
        <v>223</v>
      </c>
      <c r="E326" s="6" t="s">
        <v>82</v>
      </c>
      <c r="F326" s="10">
        <v>2</v>
      </c>
      <c r="G326" s="7">
        <v>30</v>
      </c>
      <c r="H326" s="7">
        <v>60</v>
      </c>
      <c r="I326" s="1" t="str">
        <f t="shared" si="0"/>
        <v xml:space="preserve">http://slimages.macys.com/is/image/MCY/9062144 </v>
      </c>
    </row>
    <row r="327" spans="1:9" x14ac:dyDescent="0.2">
      <c r="A327" s="3">
        <v>11288570</v>
      </c>
      <c r="B327" s="3">
        <v>706257656754</v>
      </c>
      <c r="C327" s="5" t="s">
        <v>465</v>
      </c>
      <c r="D327" s="4" t="s">
        <v>81</v>
      </c>
      <c r="E327" s="6" t="s">
        <v>85</v>
      </c>
      <c r="F327" s="10">
        <v>1</v>
      </c>
      <c r="G327" s="7">
        <v>29.5</v>
      </c>
      <c r="H327" s="7">
        <v>29.5</v>
      </c>
      <c r="I327" s="1" t="str">
        <f>HYPERLINK("http://slimages.macys.com/is/image/MCY/8213732 ")</f>
        <v xml:space="preserve">http://slimages.macys.com/is/image/MCY/8213732 </v>
      </c>
    </row>
    <row r="328" spans="1:9" x14ac:dyDescent="0.2">
      <c r="A328" s="3">
        <v>11288570</v>
      </c>
      <c r="B328" s="3">
        <v>887986042701</v>
      </c>
      <c r="C328" s="5" t="s">
        <v>466</v>
      </c>
      <c r="D328" s="4" t="s">
        <v>205</v>
      </c>
      <c r="E328" s="6" t="s">
        <v>85</v>
      </c>
      <c r="F328" s="10">
        <v>1</v>
      </c>
      <c r="G328" s="7">
        <v>29</v>
      </c>
      <c r="H328" s="7">
        <v>29</v>
      </c>
      <c r="I328" s="1" t="str">
        <f>HYPERLINK("http://slimages.macys.com/is/image/MCY/3560730 ")</f>
        <v xml:space="preserve">http://slimages.macys.com/is/image/MCY/3560730 </v>
      </c>
    </row>
    <row r="329" spans="1:9" x14ac:dyDescent="0.2">
      <c r="A329" s="3">
        <v>11288570</v>
      </c>
      <c r="B329" s="3">
        <v>51059787879</v>
      </c>
      <c r="C329" s="5" t="s">
        <v>467</v>
      </c>
      <c r="D329" s="4" t="s">
        <v>105</v>
      </c>
      <c r="E329" s="6" t="s">
        <v>85</v>
      </c>
      <c r="F329" s="10">
        <v>1</v>
      </c>
      <c r="G329" s="7">
        <v>28.5</v>
      </c>
      <c r="H329" s="7">
        <v>28.5</v>
      </c>
      <c r="I329" s="1" t="str">
        <f>HYPERLINK("http://slimages.macys.com/is/image/MCY/9221650 ")</f>
        <v xml:space="preserve">http://slimages.macys.com/is/image/MCY/9221650 </v>
      </c>
    </row>
    <row r="330" spans="1:9" x14ac:dyDescent="0.2">
      <c r="A330" s="3">
        <v>11288570</v>
      </c>
      <c r="B330" s="3">
        <v>51059788388</v>
      </c>
      <c r="C330" s="5" t="s">
        <v>468</v>
      </c>
      <c r="D330" s="4" t="s">
        <v>327</v>
      </c>
      <c r="E330" s="6" t="s">
        <v>85</v>
      </c>
      <c r="F330" s="10">
        <v>1</v>
      </c>
      <c r="G330" s="7">
        <v>24.5</v>
      </c>
      <c r="H330" s="7">
        <v>24.5</v>
      </c>
      <c r="I330" s="1" t="str">
        <f>HYPERLINK("http://slimages.macys.com/is/image/MCY/9238354 ")</f>
        <v xml:space="preserve">http://slimages.macys.com/is/image/MCY/9238354 </v>
      </c>
    </row>
    <row r="331" spans="1:9" x14ac:dyDescent="0.2">
      <c r="A331" s="3">
        <v>11288570</v>
      </c>
      <c r="B331" s="3">
        <v>882256332704</v>
      </c>
      <c r="C331" s="5" t="s">
        <v>469</v>
      </c>
      <c r="D331" s="4" t="s">
        <v>135</v>
      </c>
      <c r="E331" s="6" t="s">
        <v>85</v>
      </c>
      <c r="F331" s="10">
        <v>1</v>
      </c>
      <c r="G331" s="7">
        <v>22</v>
      </c>
      <c r="H331" s="7">
        <v>22</v>
      </c>
      <c r="I331" s="1" t="str">
        <f>HYPERLINK("http://slimages.macys.com/is/image/MCY/8915683 ")</f>
        <v xml:space="preserve">http://slimages.macys.com/is/image/MCY/8915683 </v>
      </c>
    </row>
    <row r="332" spans="1:9" x14ac:dyDescent="0.2">
      <c r="A332" s="3">
        <v>11288570</v>
      </c>
      <c r="B332" s="3">
        <v>882256321425</v>
      </c>
      <c r="C332" s="5" t="s">
        <v>470</v>
      </c>
      <c r="D332" s="4" t="s">
        <v>94</v>
      </c>
      <c r="E332" s="6" t="s">
        <v>85</v>
      </c>
      <c r="F332" s="10">
        <v>1</v>
      </c>
      <c r="G332" s="7">
        <v>20</v>
      </c>
      <c r="H332" s="7">
        <v>20</v>
      </c>
      <c r="I332" s="1" t="str">
        <f>HYPERLINK("http://slimages.macys.com/is/image/MCY/8316326 ")</f>
        <v xml:space="preserve">http://slimages.macys.com/is/image/MCY/8316326 </v>
      </c>
    </row>
    <row r="333" spans="1:9" x14ac:dyDescent="0.2">
      <c r="A333" s="3">
        <v>11288570</v>
      </c>
      <c r="B333" s="3">
        <v>882256373363</v>
      </c>
      <c r="C333" s="5" t="s">
        <v>471</v>
      </c>
      <c r="D333" s="4" t="s">
        <v>89</v>
      </c>
      <c r="E333" s="6" t="s">
        <v>85</v>
      </c>
      <c r="F333" s="10">
        <v>1</v>
      </c>
      <c r="G333" s="7">
        <v>19</v>
      </c>
      <c r="H333" s="7">
        <v>19</v>
      </c>
      <c r="I333" s="1" t="str">
        <f>HYPERLINK("http://slimages.macys.com/is/image/MCY/9950712 ")</f>
        <v xml:space="preserve">http://slimages.macys.com/is/image/MCY/9950712 </v>
      </c>
    </row>
    <row r="334" spans="1:9" x14ac:dyDescent="0.2">
      <c r="A334" s="3">
        <v>11307324</v>
      </c>
      <c r="B334" s="3">
        <v>191935685995</v>
      </c>
      <c r="C334" s="5" t="s">
        <v>472</v>
      </c>
      <c r="D334" s="4" t="s">
        <v>419</v>
      </c>
      <c r="E334" s="6" t="s">
        <v>82</v>
      </c>
      <c r="F334" s="10">
        <v>1</v>
      </c>
      <c r="G334" s="7">
        <v>498</v>
      </c>
      <c r="H334" s="7">
        <v>498</v>
      </c>
      <c r="I334" s="1" t="str">
        <f>HYPERLINK("http://slimages.macys.com/is/image/MCY/9377110 ")</f>
        <v xml:space="preserve">http://slimages.macys.com/is/image/MCY/9377110 </v>
      </c>
    </row>
    <row r="335" spans="1:9" x14ac:dyDescent="0.2">
      <c r="A335" s="3">
        <v>11307324</v>
      </c>
      <c r="B335" s="3">
        <v>749034270460</v>
      </c>
      <c r="C335" s="5" t="s">
        <v>473</v>
      </c>
      <c r="D335" s="4"/>
      <c r="E335" s="6" t="s">
        <v>82</v>
      </c>
      <c r="F335" s="10">
        <v>1</v>
      </c>
      <c r="G335" s="7">
        <v>395</v>
      </c>
      <c r="H335" s="7">
        <v>395</v>
      </c>
      <c r="I335" s="1" t="str">
        <f>HYPERLINK("http://slimages.macys.com/is/image/MCY/9310215 ")</f>
        <v xml:space="preserve">http://slimages.macys.com/is/image/MCY/9310215 </v>
      </c>
    </row>
    <row r="336" spans="1:9" x14ac:dyDescent="0.2">
      <c r="A336" s="3">
        <v>11307324</v>
      </c>
      <c r="B336" s="3">
        <v>191202477186</v>
      </c>
      <c r="C336" s="5" t="s">
        <v>474</v>
      </c>
      <c r="D336" s="4" t="s">
        <v>260</v>
      </c>
      <c r="E336" s="6" t="s">
        <v>82</v>
      </c>
      <c r="F336" s="10">
        <v>1</v>
      </c>
      <c r="G336" s="7">
        <v>350</v>
      </c>
      <c r="H336" s="7">
        <v>350</v>
      </c>
      <c r="I336" s="1"/>
    </row>
    <row r="337" spans="1:9" x14ac:dyDescent="0.2">
      <c r="A337" s="3">
        <v>11307324</v>
      </c>
      <c r="B337" s="3">
        <v>191935686954</v>
      </c>
      <c r="C337" s="5" t="s">
        <v>475</v>
      </c>
      <c r="D337" s="4" t="s">
        <v>89</v>
      </c>
      <c r="E337" s="6" t="s">
        <v>82</v>
      </c>
      <c r="F337" s="10">
        <v>1</v>
      </c>
      <c r="G337" s="7">
        <v>328</v>
      </c>
      <c r="H337" s="7">
        <v>328</v>
      </c>
      <c r="I337" s="1" t="str">
        <f>HYPERLINK("http://slimages.macys.com/is/image/MCY/9355481 ")</f>
        <v xml:space="preserve">http://slimages.macys.com/is/image/MCY/9355481 </v>
      </c>
    </row>
    <row r="338" spans="1:9" x14ac:dyDescent="0.2">
      <c r="A338" s="3">
        <v>11307324</v>
      </c>
      <c r="B338" s="3">
        <v>5025546384693</v>
      </c>
      <c r="C338" s="5" t="s">
        <v>476</v>
      </c>
      <c r="D338" s="4" t="s">
        <v>94</v>
      </c>
      <c r="E338" s="6" t="s">
        <v>118</v>
      </c>
      <c r="F338" s="10">
        <v>1</v>
      </c>
      <c r="G338" s="7">
        <v>325</v>
      </c>
      <c r="H338" s="7">
        <v>325</v>
      </c>
      <c r="I338" s="1" t="str">
        <f>HYPERLINK("http://slimages.macys.com/is/image/MCY/9330205 ")</f>
        <v xml:space="preserve">http://slimages.macys.com/is/image/MCY/9330205 </v>
      </c>
    </row>
    <row r="339" spans="1:9" x14ac:dyDescent="0.2">
      <c r="A339" s="3">
        <v>11307324</v>
      </c>
      <c r="B339" s="3">
        <v>846632812907</v>
      </c>
      <c r="C339" s="5" t="s">
        <v>477</v>
      </c>
      <c r="D339" s="4" t="s">
        <v>253</v>
      </c>
      <c r="E339" s="6" t="s">
        <v>85</v>
      </c>
      <c r="F339" s="10">
        <v>1</v>
      </c>
      <c r="G339" s="7">
        <v>325</v>
      </c>
      <c r="H339" s="7">
        <v>325</v>
      </c>
      <c r="I339" s="1" t="str">
        <f>HYPERLINK("http://images.bloomingdales.com/is/image/BLM/9155819 ")</f>
        <v xml:space="preserve">http://images.bloomingdales.com/is/image/BLM/9155819 </v>
      </c>
    </row>
    <row r="340" spans="1:9" x14ac:dyDescent="0.2">
      <c r="A340" s="3">
        <v>11307324</v>
      </c>
      <c r="B340" s="3">
        <v>887986092539</v>
      </c>
      <c r="C340" s="5" t="s">
        <v>478</v>
      </c>
      <c r="D340" s="4" t="s">
        <v>238</v>
      </c>
      <c r="E340" s="6" t="s">
        <v>85</v>
      </c>
      <c r="F340" s="10">
        <v>1</v>
      </c>
      <c r="G340" s="7">
        <v>299</v>
      </c>
      <c r="H340" s="7">
        <v>299</v>
      </c>
      <c r="I340" s="1" t="str">
        <f>HYPERLINK("http://slimages.macys.com/is/image/MCY/8553447 ")</f>
        <v xml:space="preserve">http://slimages.macys.com/is/image/MCY/8553447 </v>
      </c>
    </row>
    <row r="341" spans="1:9" x14ac:dyDescent="0.2">
      <c r="A341" s="3">
        <v>11307324</v>
      </c>
      <c r="B341" s="3">
        <v>98687197281</v>
      </c>
      <c r="C341" s="5" t="s">
        <v>479</v>
      </c>
      <c r="D341" s="4" t="s">
        <v>175</v>
      </c>
      <c r="E341" s="6" t="s">
        <v>85</v>
      </c>
      <c r="F341" s="10">
        <v>1</v>
      </c>
      <c r="G341" s="7">
        <v>298</v>
      </c>
      <c r="H341" s="7">
        <v>298</v>
      </c>
      <c r="I341" s="1" t="str">
        <f>HYPERLINK("http://slimages.macys.com/is/image/MCY/9769467 ")</f>
        <v xml:space="preserve">http://slimages.macys.com/is/image/MCY/9769467 </v>
      </c>
    </row>
    <row r="342" spans="1:9" x14ac:dyDescent="0.2">
      <c r="A342" s="3">
        <v>11307324</v>
      </c>
      <c r="B342" s="3">
        <v>883820096350</v>
      </c>
      <c r="C342" s="5" t="s">
        <v>480</v>
      </c>
      <c r="D342" s="4" t="s">
        <v>98</v>
      </c>
      <c r="E342" s="6" t="s">
        <v>85</v>
      </c>
      <c r="F342" s="10">
        <v>1</v>
      </c>
      <c r="G342" s="7">
        <v>298</v>
      </c>
      <c r="H342" s="7">
        <v>298</v>
      </c>
      <c r="I342" s="1" t="str">
        <f>HYPERLINK("http://slimages.macys.com/is/image/MCY/9325193 ")</f>
        <v xml:space="preserve">http://slimages.macys.com/is/image/MCY/9325193 </v>
      </c>
    </row>
    <row r="343" spans="1:9" x14ac:dyDescent="0.2">
      <c r="A343" s="3">
        <v>11307324</v>
      </c>
      <c r="B343" s="3">
        <v>191202478985</v>
      </c>
      <c r="C343" s="5" t="s">
        <v>481</v>
      </c>
      <c r="D343" s="4" t="s">
        <v>87</v>
      </c>
      <c r="E343" s="6" t="s">
        <v>82</v>
      </c>
      <c r="F343" s="10">
        <v>1</v>
      </c>
      <c r="G343" s="7">
        <v>295</v>
      </c>
      <c r="H343" s="7">
        <v>295</v>
      </c>
      <c r="I343" s="1" t="str">
        <f>HYPERLINK("http://slimages.macys.com/is/image/MCY/9132417 ")</f>
        <v xml:space="preserve">http://slimages.macys.com/is/image/MCY/9132417 </v>
      </c>
    </row>
    <row r="344" spans="1:9" x14ac:dyDescent="0.2">
      <c r="A344" s="3">
        <v>11307324</v>
      </c>
      <c r="B344" s="3">
        <v>5025546385393</v>
      </c>
      <c r="C344" s="5" t="s">
        <v>482</v>
      </c>
      <c r="D344" s="4" t="s">
        <v>94</v>
      </c>
      <c r="E344" s="6" t="s">
        <v>132</v>
      </c>
      <c r="F344" s="10">
        <v>2</v>
      </c>
      <c r="G344" s="7">
        <v>295</v>
      </c>
      <c r="H344" s="7">
        <v>590</v>
      </c>
      <c r="I344" s="1" t="str">
        <f>HYPERLINK("http://slimages.macys.com/is/image/MCY/9288070 ")</f>
        <v xml:space="preserve">http://slimages.macys.com/is/image/MCY/9288070 </v>
      </c>
    </row>
    <row r="345" spans="1:9" x14ac:dyDescent="0.2">
      <c r="A345" s="3">
        <v>11307324</v>
      </c>
      <c r="B345" s="3">
        <v>5025546383733</v>
      </c>
      <c r="C345" s="5" t="s">
        <v>483</v>
      </c>
      <c r="D345" s="4" t="s">
        <v>117</v>
      </c>
      <c r="E345" s="6" t="s">
        <v>118</v>
      </c>
      <c r="F345" s="10">
        <v>1</v>
      </c>
      <c r="G345" s="7">
        <v>295</v>
      </c>
      <c r="H345" s="7">
        <v>295</v>
      </c>
      <c r="I345" s="1" t="str">
        <f>HYPERLINK("http://slimages.macys.com/is/image/MCY/9637885 ")</f>
        <v xml:space="preserve">http://slimages.macys.com/is/image/MCY/9637885 </v>
      </c>
    </row>
    <row r="346" spans="1:9" x14ac:dyDescent="0.2">
      <c r="A346" s="3">
        <v>11307324</v>
      </c>
      <c r="B346" s="3">
        <v>190049675403</v>
      </c>
      <c r="C346" s="5" t="s">
        <v>484</v>
      </c>
      <c r="D346" s="4" t="s">
        <v>135</v>
      </c>
      <c r="E346" s="6" t="s">
        <v>82</v>
      </c>
      <c r="F346" s="10">
        <v>1</v>
      </c>
      <c r="G346" s="7">
        <v>268</v>
      </c>
      <c r="H346" s="7">
        <v>268</v>
      </c>
      <c r="I346" s="1" t="str">
        <f>HYPERLINK("http://slimages.macys.com/is/image/MCY/8802871 ")</f>
        <v xml:space="preserve">http://slimages.macys.com/is/image/MCY/8802871 </v>
      </c>
    </row>
    <row r="347" spans="1:9" x14ac:dyDescent="0.2">
      <c r="A347" s="3">
        <v>11307324</v>
      </c>
      <c r="B347" s="3">
        <v>191935082923</v>
      </c>
      <c r="C347" s="5" t="s">
        <v>485</v>
      </c>
      <c r="D347" s="4" t="s">
        <v>81</v>
      </c>
      <c r="E347" s="6" t="s">
        <v>82</v>
      </c>
      <c r="F347" s="10">
        <v>1</v>
      </c>
      <c r="G347" s="7">
        <v>268</v>
      </c>
      <c r="H347" s="7">
        <v>268</v>
      </c>
      <c r="I347" s="1" t="str">
        <f>HYPERLINK("http://slimages.macys.com/is/image/MCY/9099478 ")</f>
        <v xml:space="preserve">http://slimages.macys.com/is/image/MCY/9099478 </v>
      </c>
    </row>
    <row r="348" spans="1:9" x14ac:dyDescent="0.2">
      <c r="A348" s="3">
        <v>11307324</v>
      </c>
      <c r="B348" s="3">
        <v>192317875522</v>
      </c>
      <c r="C348" s="5" t="s">
        <v>486</v>
      </c>
      <c r="D348" s="4" t="s">
        <v>158</v>
      </c>
      <c r="E348" s="6" t="s">
        <v>82</v>
      </c>
      <c r="F348" s="10">
        <v>1</v>
      </c>
      <c r="G348" s="7">
        <v>268</v>
      </c>
      <c r="H348" s="7">
        <v>268</v>
      </c>
      <c r="I348" s="1"/>
    </row>
    <row r="349" spans="1:9" x14ac:dyDescent="0.2">
      <c r="A349" s="3">
        <v>11307324</v>
      </c>
      <c r="B349" s="3">
        <v>191935076960</v>
      </c>
      <c r="C349" s="5" t="s">
        <v>487</v>
      </c>
      <c r="D349" s="4" t="s">
        <v>100</v>
      </c>
      <c r="E349" s="6" t="s">
        <v>82</v>
      </c>
      <c r="F349" s="10">
        <v>1</v>
      </c>
      <c r="G349" s="7">
        <v>258</v>
      </c>
      <c r="H349" s="7">
        <v>258</v>
      </c>
      <c r="I349" s="1" t="str">
        <f>HYPERLINK("http://slimages.macys.com/is/image/MCY/9028334 ")</f>
        <v xml:space="preserve">http://slimages.macys.com/is/image/MCY/9028334 </v>
      </c>
    </row>
    <row r="350" spans="1:9" x14ac:dyDescent="0.2">
      <c r="A350" s="3">
        <v>11307324</v>
      </c>
      <c r="B350" s="3">
        <v>191935076953</v>
      </c>
      <c r="C350" s="5" t="s">
        <v>488</v>
      </c>
      <c r="D350" s="4" t="s">
        <v>100</v>
      </c>
      <c r="E350" s="6" t="s">
        <v>82</v>
      </c>
      <c r="F350" s="10">
        <v>1</v>
      </c>
      <c r="G350" s="7">
        <v>258</v>
      </c>
      <c r="H350" s="7">
        <v>258</v>
      </c>
      <c r="I350" s="1" t="str">
        <f>HYPERLINK("http://slimages.macys.com/is/image/MCY/9028334 ")</f>
        <v xml:space="preserve">http://slimages.macys.com/is/image/MCY/9028334 </v>
      </c>
    </row>
    <row r="351" spans="1:9" x14ac:dyDescent="0.2">
      <c r="A351" s="3">
        <v>11307324</v>
      </c>
      <c r="B351" s="3">
        <v>887986087511</v>
      </c>
      <c r="C351" s="5" t="s">
        <v>489</v>
      </c>
      <c r="D351" s="4" t="s">
        <v>81</v>
      </c>
      <c r="E351" s="6" t="s">
        <v>85</v>
      </c>
      <c r="F351" s="10">
        <v>1</v>
      </c>
      <c r="G351" s="7">
        <v>249</v>
      </c>
      <c r="H351" s="7">
        <v>249</v>
      </c>
      <c r="I351" s="1" t="str">
        <f>HYPERLINK("http://slimages.macys.com/is/image/MCY/9485041 ")</f>
        <v xml:space="preserve">http://slimages.macys.com/is/image/MCY/9485041 </v>
      </c>
    </row>
    <row r="352" spans="1:9" x14ac:dyDescent="0.2">
      <c r="A352" s="3">
        <v>11307324</v>
      </c>
      <c r="B352" s="3">
        <v>192317316735</v>
      </c>
      <c r="C352" s="5" t="s">
        <v>490</v>
      </c>
      <c r="D352" s="4" t="s">
        <v>89</v>
      </c>
      <c r="E352" s="6" t="s">
        <v>82</v>
      </c>
      <c r="F352" s="10">
        <v>2</v>
      </c>
      <c r="G352" s="7">
        <v>248</v>
      </c>
      <c r="H352" s="7">
        <v>496</v>
      </c>
      <c r="I352" s="1" t="str">
        <f>HYPERLINK("http://slimages.macys.com/is/image/MCY/9797676 ")</f>
        <v xml:space="preserve">http://slimages.macys.com/is/image/MCY/9797676 </v>
      </c>
    </row>
    <row r="353" spans="1:9" x14ac:dyDescent="0.2">
      <c r="A353" s="3">
        <v>11307324</v>
      </c>
      <c r="B353" s="3">
        <v>191935683090</v>
      </c>
      <c r="C353" s="5" t="s">
        <v>491</v>
      </c>
      <c r="D353" s="4" t="s">
        <v>454</v>
      </c>
      <c r="E353" s="6" t="s">
        <v>82</v>
      </c>
      <c r="F353" s="10">
        <v>1</v>
      </c>
      <c r="G353" s="7">
        <v>248</v>
      </c>
      <c r="H353" s="7">
        <v>248</v>
      </c>
      <c r="I353" s="1" t="str">
        <f>HYPERLINK("http://slimages.macys.com/is/image/MCY/9278126 ")</f>
        <v xml:space="preserve">http://slimages.macys.com/is/image/MCY/9278126 </v>
      </c>
    </row>
    <row r="354" spans="1:9" x14ac:dyDescent="0.2">
      <c r="A354" s="3">
        <v>11307324</v>
      </c>
      <c r="B354" s="3">
        <v>802892701993</v>
      </c>
      <c r="C354" s="5" t="s">
        <v>492</v>
      </c>
      <c r="D354" s="4" t="s">
        <v>109</v>
      </c>
      <c r="E354" s="6" t="s">
        <v>85</v>
      </c>
      <c r="F354" s="10">
        <v>1</v>
      </c>
      <c r="G354" s="7">
        <v>248</v>
      </c>
      <c r="H354" s="7">
        <v>248</v>
      </c>
      <c r="I354" s="1" t="str">
        <f>HYPERLINK("http://slimages.macys.com/is/image/MCY/9338262 ")</f>
        <v xml:space="preserve">http://slimages.macys.com/is/image/MCY/9338262 </v>
      </c>
    </row>
    <row r="355" spans="1:9" x14ac:dyDescent="0.2">
      <c r="A355" s="3">
        <v>11307324</v>
      </c>
      <c r="B355" s="3">
        <v>799344592271</v>
      </c>
      <c r="C355" s="5" t="s">
        <v>493</v>
      </c>
      <c r="D355" s="4" t="s">
        <v>117</v>
      </c>
      <c r="E355" s="6" t="s">
        <v>85</v>
      </c>
      <c r="F355" s="10">
        <v>1</v>
      </c>
      <c r="G355" s="7">
        <v>228</v>
      </c>
      <c r="H355" s="7">
        <v>228</v>
      </c>
      <c r="I355" s="1" t="str">
        <f>HYPERLINK("http://slimages.macys.com/is/image/MCY/8889357 ")</f>
        <v xml:space="preserve">http://slimages.macys.com/is/image/MCY/8889357 </v>
      </c>
    </row>
    <row r="356" spans="1:9" x14ac:dyDescent="0.2">
      <c r="A356" s="3">
        <v>11307324</v>
      </c>
      <c r="B356" s="3">
        <v>191797500559</v>
      </c>
      <c r="C356" s="5" t="s">
        <v>494</v>
      </c>
      <c r="D356" s="4" t="s">
        <v>91</v>
      </c>
      <c r="E356" s="6" t="s">
        <v>85</v>
      </c>
      <c r="F356" s="10">
        <v>1</v>
      </c>
      <c r="G356" s="7">
        <v>228</v>
      </c>
      <c r="H356" s="7">
        <v>228</v>
      </c>
      <c r="I356" s="1" t="str">
        <f>HYPERLINK("http://slimages.macys.com/is/image/MCY/9472509 ")</f>
        <v xml:space="preserve">http://slimages.macys.com/is/image/MCY/9472509 </v>
      </c>
    </row>
    <row r="357" spans="1:9" x14ac:dyDescent="0.2">
      <c r="A357" s="3">
        <v>11307324</v>
      </c>
      <c r="B357" s="3">
        <v>802892839047</v>
      </c>
      <c r="C357" s="5" t="s">
        <v>495</v>
      </c>
      <c r="D357" s="4" t="s">
        <v>81</v>
      </c>
      <c r="E357" s="6" t="s">
        <v>85</v>
      </c>
      <c r="F357" s="10">
        <v>1</v>
      </c>
      <c r="G357" s="7">
        <v>228</v>
      </c>
      <c r="H357" s="7">
        <v>228</v>
      </c>
      <c r="I357" s="1" t="str">
        <f>HYPERLINK("http://slimages.macys.com/is/image/MCY/9079738 ")</f>
        <v xml:space="preserve">http://slimages.macys.com/is/image/MCY/9079738 </v>
      </c>
    </row>
    <row r="358" spans="1:9" x14ac:dyDescent="0.2">
      <c r="A358" s="3">
        <v>11307324</v>
      </c>
      <c r="B358" s="3">
        <v>887986103709</v>
      </c>
      <c r="C358" s="5" t="s">
        <v>496</v>
      </c>
      <c r="D358" s="4" t="s">
        <v>175</v>
      </c>
      <c r="E358" s="6" t="s">
        <v>85</v>
      </c>
      <c r="F358" s="10">
        <v>1</v>
      </c>
      <c r="G358" s="7">
        <v>199</v>
      </c>
      <c r="H358" s="7">
        <v>199</v>
      </c>
      <c r="I358" s="1" t="str">
        <f>HYPERLINK("http://slimages.macys.com/is/image/MCY/9806912 ")</f>
        <v xml:space="preserve">http://slimages.macys.com/is/image/MCY/9806912 </v>
      </c>
    </row>
    <row r="359" spans="1:9" x14ac:dyDescent="0.2">
      <c r="A359" s="3">
        <v>11307324</v>
      </c>
      <c r="B359" s="3">
        <v>191935674807</v>
      </c>
      <c r="C359" s="5" t="s">
        <v>497</v>
      </c>
      <c r="D359" s="4" t="s">
        <v>100</v>
      </c>
      <c r="E359" s="6" t="s">
        <v>82</v>
      </c>
      <c r="F359" s="10">
        <v>1</v>
      </c>
      <c r="G359" s="7">
        <v>198</v>
      </c>
      <c r="H359" s="7">
        <v>198</v>
      </c>
      <c r="I359" s="1" t="str">
        <f>HYPERLINK("http://slimages.macys.com/is/image/MCY/8518842 ")</f>
        <v xml:space="preserve">http://slimages.macys.com/is/image/MCY/8518842 </v>
      </c>
    </row>
    <row r="360" spans="1:9" x14ac:dyDescent="0.2">
      <c r="A360" s="3">
        <v>11307324</v>
      </c>
      <c r="B360" s="3">
        <v>191935680549</v>
      </c>
      <c r="C360" s="5" t="s">
        <v>498</v>
      </c>
      <c r="D360" s="4" t="s">
        <v>419</v>
      </c>
      <c r="E360" s="6" t="s">
        <v>82</v>
      </c>
      <c r="F360" s="10">
        <v>1</v>
      </c>
      <c r="G360" s="7">
        <v>198</v>
      </c>
      <c r="H360" s="7">
        <v>198</v>
      </c>
      <c r="I360" s="1" t="str">
        <f>HYPERLINK("http://slimages.macys.com/is/image/MCY/9335815 ")</f>
        <v xml:space="preserve">http://slimages.macys.com/is/image/MCY/9335815 </v>
      </c>
    </row>
    <row r="361" spans="1:9" x14ac:dyDescent="0.2">
      <c r="A361" s="3">
        <v>11307324</v>
      </c>
      <c r="B361" s="3">
        <v>191935680556</v>
      </c>
      <c r="C361" s="5" t="s">
        <v>499</v>
      </c>
      <c r="D361" s="4" t="s">
        <v>422</v>
      </c>
      <c r="E361" s="6" t="s">
        <v>82</v>
      </c>
      <c r="F361" s="10">
        <v>1</v>
      </c>
      <c r="G361" s="7">
        <v>198</v>
      </c>
      <c r="H361" s="7">
        <v>198</v>
      </c>
      <c r="I361" s="1" t="str">
        <f>HYPERLINK("http://slimages.macys.com/is/image/MCY/9335815 ")</f>
        <v xml:space="preserve">http://slimages.macys.com/is/image/MCY/9335815 </v>
      </c>
    </row>
    <row r="362" spans="1:9" x14ac:dyDescent="0.2">
      <c r="A362" s="3">
        <v>11307324</v>
      </c>
      <c r="B362" s="3">
        <v>191935083517</v>
      </c>
      <c r="C362" s="5" t="s">
        <v>500</v>
      </c>
      <c r="D362" s="4" t="s">
        <v>135</v>
      </c>
      <c r="E362" s="6" t="s">
        <v>82</v>
      </c>
      <c r="F362" s="10">
        <v>1</v>
      </c>
      <c r="G362" s="7">
        <v>198</v>
      </c>
      <c r="H362" s="7">
        <v>198</v>
      </c>
      <c r="I362" s="1" t="str">
        <f>HYPERLINK("http://slimages.macys.com/is/image/MCY/9020906 ")</f>
        <v xml:space="preserve">http://slimages.macys.com/is/image/MCY/9020906 </v>
      </c>
    </row>
    <row r="363" spans="1:9" x14ac:dyDescent="0.2">
      <c r="A363" s="3">
        <v>11307324</v>
      </c>
      <c r="B363" s="3">
        <v>190049724743</v>
      </c>
      <c r="C363" s="5" t="s">
        <v>137</v>
      </c>
      <c r="D363" s="4" t="s">
        <v>138</v>
      </c>
      <c r="E363" s="6" t="s">
        <v>82</v>
      </c>
      <c r="F363" s="10">
        <v>1</v>
      </c>
      <c r="G363" s="7">
        <v>198</v>
      </c>
      <c r="H363" s="7">
        <v>198</v>
      </c>
      <c r="I363" s="1" t="str">
        <f>HYPERLINK("http://slimages.macys.com/is/image/MCY/8048432 ")</f>
        <v xml:space="preserve">http://slimages.macys.com/is/image/MCY/8048432 </v>
      </c>
    </row>
    <row r="364" spans="1:9" x14ac:dyDescent="0.2">
      <c r="A364" s="3">
        <v>11307324</v>
      </c>
      <c r="B364" s="3">
        <v>98687022620</v>
      </c>
      <c r="C364" s="5" t="s">
        <v>501</v>
      </c>
      <c r="D364" s="4" t="s">
        <v>100</v>
      </c>
      <c r="E364" s="6" t="s">
        <v>85</v>
      </c>
      <c r="F364" s="10">
        <v>1</v>
      </c>
      <c r="G364" s="7">
        <v>198</v>
      </c>
      <c r="H364" s="7">
        <v>198</v>
      </c>
      <c r="I364" s="1" t="str">
        <f>HYPERLINK("http://slimages.macys.com/is/image/MCY/8253897 ")</f>
        <v xml:space="preserve">http://slimages.macys.com/is/image/MCY/8253897 </v>
      </c>
    </row>
    <row r="365" spans="1:9" x14ac:dyDescent="0.2">
      <c r="A365" s="3">
        <v>11307324</v>
      </c>
      <c r="B365" s="3">
        <v>191797497866</v>
      </c>
      <c r="C365" s="5" t="s">
        <v>502</v>
      </c>
      <c r="D365" s="4" t="s">
        <v>98</v>
      </c>
      <c r="E365" s="6" t="s">
        <v>85</v>
      </c>
      <c r="F365" s="10">
        <v>13</v>
      </c>
      <c r="G365" s="7">
        <v>198</v>
      </c>
      <c r="H365" s="7">
        <v>2574</v>
      </c>
      <c r="I365" s="1" t="str">
        <f>HYPERLINK("http://slimages.macys.com/is/image/MCY/9379391 ")</f>
        <v xml:space="preserve">http://slimages.macys.com/is/image/MCY/9379391 </v>
      </c>
    </row>
    <row r="366" spans="1:9" x14ac:dyDescent="0.2">
      <c r="A366" s="3">
        <v>11307324</v>
      </c>
      <c r="B366" s="3">
        <v>5025546385164</v>
      </c>
      <c r="C366" s="5" t="s">
        <v>503</v>
      </c>
      <c r="D366" s="4" t="s">
        <v>94</v>
      </c>
      <c r="E366" s="6" t="s">
        <v>143</v>
      </c>
      <c r="F366" s="10">
        <v>1</v>
      </c>
      <c r="G366" s="7">
        <v>195</v>
      </c>
      <c r="H366" s="7">
        <v>195</v>
      </c>
      <c r="I366" s="1" t="str">
        <f>HYPERLINK("http://slimages.macys.com/is/image/MCY/9351149 ")</f>
        <v xml:space="preserve">http://slimages.macys.com/is/image/MCY/9351149 </v>
      </c>
    </row>
    <row r="367" spans="1:9" x14ac:dyDescent="0.2">
      <c r="A367" s="3">
        <v>11307324</v>
      </c>
      <c r="B367" s="3">
        <v>5025546384464</v>
      </c>
      <c r="C367" s="5" t="s">
        <v>504</v>
      </c>
      <c r="D367" s="4" t="s">
        <v>129</v>
      </c>
      <c r="E367" s="6" t="s">
        <v>143</v>
      </c>
      <c r="F367" s="10">
        <v>1</v>
      </c>
      <c r="G367" s="7">
        <v>195</v>
      </c>
      <c r="H367" s="7">
        <v>195</v>
      </c>
      <c r="I367" s="1" t="str">
        <f>HYPERLINK("http://slimages.macys.com/is/image/MCY/9473795 ")</f>
        <v xml:space="preserve">http://slimages.macys.com/is/image/MCY/9473795 </v>
      </c>
    </row>
    <row r="368" spans="1:9" x14ac:dyDescent="0.2">
      <c r="A368" s="3">
        <v>11307324</v>
      </c>
      <c r="B368" s="3">
        <v>887986108155</v>
      </c>
      <c r="C368" s="5" t="s">
        <v>505</v>
      </c>
      <c r="D368" s="4" t="s">
        <v>81</v>
      </c>
      <c r="E368" s="6" t="s">
        <v>85</v>
      </c>
      <c r="F368" s="10">
        <v>1</v>
      </c>
      <c r="G368" s="7">
        <v>189</v>
      </c>
      <c r="H368" s="7">
        <v>189</v>
      </c>
      <c r="I368" s="1" t="str">
        <f>HYPERLINK("http://slimages.macys.com/is/image/MCY/9270857 ")</f>
        <v xml:space="preserve">http://slimages.macys.com/is/image/MCY/9270857 </v>
      </c>
    </row>
    <row r="369" spans="1:9" x14ac:dyDescent="0.2">
      <c r="A369" s="3">
        <v>11307324</v>
      </c>
      <c r="B369" s="3">
        <v>887986096698</v>
      </c>
      <c r="C369" s="5" t="s">
        <v>506</v>
      </c>
      <c r="D369" s="4" t="s">
        <v>360</v>
      </c>
      <c r="E369" s="6" t="s">
        <v>85</v>
      </c>
      <c r="F369" s="10">
        <v>1</v>
      </c>
      <c r="G369" s="7">
        <v>189</v>
      </c>
      <c r="H369" s="7">
        <v>189</v>
      </c>
      <c r="I369" s="1" t="str">
        <f>HYPERLINK("http://slimages.macys.com/is/image/MCY/9270857 ")</f>
        <v xml:space="preserve">http://slimages.macys.com/is/image/MCY/9270857 </v>
      </c>
    </row>
    <row r="370" spans="1:9" x14ac:dyDescent="0.2">
      <c r="A370" s="3">
        <v>11307324</v>
      </c>
      <c r="B370" s="3">
        <v>191797496999</v>
      </c>
      <c r="C370" s="5" t="s">
        <v>334</v>
      </c>
      <c r="D370" s="4" t="s">
        <v>98</v>
      </c>
      <c r="E370" s="6" t="s">
        <v>85</v>
      </c>
      <c r="F370" s="10">
        <v>11</v>
      </c>
      <c r="G370" s="7">
        <v>188</v>
      </c>
      <c r="H370" s="7">
        <v>2068</v>
      </c>
      <c r="I370" s="1" t="str">
        <f>HYPERLINK("http://slimages.macys.com/is/image/MCY/9595511 ")</f>
        <v xml:space="preserve">http://slimages.macys.com/is/image/MCY/9595511 </v>
      </c>
    </row>
    <row r="371" spans="1:9" x14ac:dyDescent="0.2">
      <c r="A371" s="3">
        <v>11307324</v>
      </c>
      <c r="B371" s="3">
        <v>190662749291</v>
      </c>
      <c r="C371" s="5" t="s">
        <v>507</v>
      </c>
      <c r="D371" s="4" t="s">
        <v>81</v>
      </c>
      <c r="E371" s="6" t="s">
        <v>85</v>
      </c>
      <c r="F371" s="10">
        <v>1</v>
      </c>
      <c r="G371" s="7">
        <v>178</v>
      </c>
      <c r="H371" s="7">
        <v>178</v>
      </c>
      <c r="I371" s="1" t="str">
        <f>HYPERLINK("http://slimages.macys.com/is/image/MCY/9220872 ")</f>
        <v xml:space="preserve">http://slimages.macys.com/is/image/MCY/9220872 </v>
      </c>
    </row>
    <row r="372" spans="1:9" x14ac:dyDescent="0.2">
      <c r="A372" s="3">
        <v>11307324</v>
      </c>
      <c r="B372" s="3">
        <v>191797498016</v>
      </c>
      <c r="C372" s="5" t="s">
        <v>151</v>
      </c>
      <c r="D372" s="4" t="s">
        <v>100</v>
      </c>
      <c r="E372" s="6" t="s">
        <v>85</v>
      </c>
      <c r="F372" s="10">
        <v>31</v>
      </c>
      <c r="G372" s="7">
        <v>178</v>
      </c>
      <c r="H372" s="7">
        <v>5518</v>
      </c>
      <c r="I372" s="1" t="str">
        <f>HYPERLINK("http://slimages.macys.com/is/image/MCY/9125585 ")</f>
        <v xml:space="preserve">http://slimages.macys.com/is/image/MCY/9125585 </v>
      </c>
    </row>
    <row r="373" spans="1:9" x14ac:dyDescent="0.2">
      <c r="A373" s="3">
        <v>11307324</v>
      </c>
      <c r="B373" s="3">
        <v>191797500146</v>
      </c>
      <c r="C373" s="5" t="s">
        <v>508</v>
      </c>
      <c r="D373" s="4" t="s">
        <v>98</v>
      </c>
      <c r="E373" s="6" t="s">
        <v>85</v>
      </c>
      <c r="F373" s="10">
        <v>1</v>
      </c>
      <c r="G373" s="7">
        <v>168</v>
      </c>
      <c r="H373" s="7">
        <v>168</v>
      </c>
      <c r="I373" s="1" t="str">
        <f>HYPERLINK("http://slimages.macys.com/is/image/MCY/9409617 ")</f>
        <v xml:space="preserve">http://slimages.macys.com/is/image/MCY/9409617 </v>
      </c>
    </row>
    <row r="374" spans="1:9" x14ac:dyDescent="0.2">
      <c r="A374" s="3">
        <v>11307324</v>
      </c>
      <c r="B374" s="3">
        <v>5025546385195</v>
      </c>
      <c r="C374" s="5" t="s">
        <v>509</v>
      </c>
      <c r="D374" s="4" t="s">
        <v>81</v>
      </c>
      <c r="E374" s="6" t="s">
        <v>510</v>
      </c>
      <c r="F374" s="10">
        <v>1</v>
      </c>
      <c r="G374" s="7">
        <v>165</v>
      </c>
      <c r="H374" s="7">
        <v>165</v>
      </c>
      <c r="I374" s="1" t="str">
        <f>HYPERLINK("http://slimages.macys.com/is/image/MCY/9330294 ")</f>
        <v xml:space="preserve">http://slimages.macys.com/is/image/MCY/9330294 </v>
      </c>
    </row>
    <row r="375" spans="1:9" x14ac:dyDescent="0.2">
      <c r="A375" s="3">
        <v>11307324</v>
      </c>
      <c r="B375" s="3">
        <v>191797497071</v>
      </c>
      <c r="C375" s="5" t="s">
        <v>334</v>
      </c>
      <c r="D375" s="4" t="s">
        <v>98</v>
      </c>
      <c r="E375" s="6" t="s">
        <v>85</v>
      </c>
      <c r="F375" s="10">
        <v>4</v>
      </c>
      <c r="G375" s="7">
        <v>158</v>
      </c>
      <c r="H375" s="7">
        <v>632</v>
      </c>
      <c r="I375" s="1" t="str">
        <f>HYPERLINK("http://slimages.macys.com/is/image/MCY/9553461 ")</f>
        <v xml:space="preserve">http://slimages.macys.com/is/image/MCY/9553461 </v>
      </c>
    </row>
    <row r="376" spans="1:9" x14ac:dyDescent="0.2">
      <c r="A376" s="3">
        <v>11307324</v>
      </c>
      <c r="B376" s="3">
        <v>191935692986</v>
      </c>
      <c r="C376" s="5" t="s">
        <v>511</v>
      </c>
      <c r="D376" s="4" t="s">
        <v>125</v>
      </c>
      <c r="E376" s="6" t="s">
        <v>82</v>
      </c>
      <c r="F376" s="10">
        <v>1</v>
      </c>
      <c r="G376" s="7">
        <v>148</v>
      </c>
      <c r="H376" s="7">
        <v>148</v>
      </c>
      <c r="I376" s="1" t="str">
        <f>HYPERLINK("http://slimages.macys.com/is/image/MCY/9389070 ")</f>
        <v xml:space="preserve">http://slimages.macys.com/is/image/MCY/9389070 </v>
      </c>
    </row>
    <row r="377" spans="1:9" x14ac:dyDescent="0.2">
      <c r="A377" s="3">
        <v>11307324</v>
      </c>
      <c r="B377" s="3">
        <v>191797500214</v>
      </c>
      <c r="C377" s="5" t="s">
        <v>164</v>
      </c>
      <c r="D377" s="4" t="s">
        <v>100</v>
      </c>
      <c r="E377" s="6" t="s">
        <v>85</v>
      </c>
      <c r="F377" s="10">
        <v>26</v>
      </c>
      <c r="G377" s="7">
        <v>148</v>
      </c>
      <c r="H377" s="7">
        <v>3848</v>
      </c>
      <c r="I377" s="1" t="str">
        <f>HYPERLINK("http://slimages.macys.com/is/image/MCY/9126620 ")</f>
        <v xml:space="preserve">http://slimages.macys.com/is/image/MCY/9126620 </v>
      </c>
    </row>
    <row r="378" spans="1:9" x14ac:dyDescent="0.2">
      <c r="A378" s="3">
        <v>11307324</v>
      </c>
      <c r="B378" s="3">
        <v>802892702617</v>
      </c>
      <c r="C378" s="5" t="s">
        <v>512</v>
      </c>
      <c r="D378" s="4" t="s">
        <v>172</v>
      </c>
      <c r="E378" s="6" t="s">
        <v>85</v>
      </c>
      <c r="F378" s="10">
        <v>1</v>
      </c>
      <c r="G378" s="7">
        <v>148</v>
      </c>
      <c r="H378" s="7">
        <v>148</v>
      </c>
      <c r="I378" s="1" t="str">
        <f>HYPERLINK("http://slimages.macys.com/is/image/MCY/9246807 ")</f>
        <v xml:space="preserve">http://slimages.macys.com/is/image/MCY/9246807 </v>
      </c>
    </row>
    <row r="379" spans="1:9" x14ac:dyDescent="0.2">
      <c r="A379" s="3">
        <v>11307324</v>
      </c>
      <c r="B379" s="3">
        <v>885719773861</v>
      </c>
      <c r="C379" s="5" t="s">
        <v>513</v>
      </c>
      <c r="D379" s="4" t="s">
        <v>91</v>
      </c>
      <c r="E379" s="6" t="s">
        <v>85</v>
      </c>
      <c r="F379" s="10">
        <v>1</v>
      </c>
      <c r="G379" s="7">
        <v>148</v>
      </c>
      <c r="H379" s="7">
        <v>148</v>
      </c>
      <c r="I379" s="1" t="str">
        <f>HYPERLINK("http://slimages.macys.com/is/image/MCY/8951173 ")</f>
        <v xml:space="preserve">http://slimages.macys.com/is/image/MCY/8951173 </v>
      </c>
    </row>
    <row r="380" spans="1:9" x14ac:dyDescent="0.2">
      <c r="A380" s="3">
        <v>11307324</v>
      </c>
      <c r="B380" s="3">
        <v>190466175180</v>
      </c>
      <c r="C380" s="5" t="s">
        <v>514</v>
      </c>
      <c r="D380" s="4" t="s">
        <v>107</v>
      </c>
      <c r="E380" s="6" t="s">
        <v>85</v>
      </c>
      <c r="F380" s="10">
        <v>1</v>
      </c>
      <c r="G380" s="7">
        <v>148</v>
      </c>
      <c r="H380" s="7">
        <v>148</v>
      </c>
      <c r="I380" s="1" t="str">
        <f>HYPERLINK("http://slimages.macys.com/is/image/MCY/9552933 ")</f>
        <v xml:space="preserve">http://slimages.macys.com/is/image/MCY/9552933 </v>
      </c>
    </row>
    <row r="381" spans="1:9" x14ac:dyDescent="0.2">
      <c r="A381" s="3">
        <v>11307324</v>
      </c>
      <c r="B381" s="3">
        <v>888188290730</v>
      </c>
      <c r="C381" s="5" t="s">
        <v>515</v>
      </c>
      <c r="D381" s="4" t="s">
        <v>81</v>
      </c>
      <c r="E381" s="6" t="s">
        <v>85</v>
      </c>
      <c r="F381" s="10">
        <v>1</v>
      </c>
      <c r="G381" s="7">
        <v>148</v>
      </c>
      <c r="H381" s="7">
        <v>148</v>
      </c>
      <c r="I381" s="1" t="str">
        <f>HYPERLINK("http://slimages.macys.com/is/image/MCY/8531026 ")</f>
        <v xml:space="preserve">http://slimages.macys.com/is/image/MCY/8531026 </v>
      </c>
    </row>
    <row r="382" spans="1:9" x14ac:dyDescent="0.2">
      <c r="A382" s="3">
        <v>11307324</v>
      </c>
      <c r="B382" s="3">
        <v>723764557206</v>
      </c>
      <c r="C382" s="5" t="s">
        <v>516</v>
      </c>
      <c r="D382" s="4" t="s">
        <v>175</v>
      </c>
      <c r="E382" s="6" t="s">
        <v>82</v>
      </c>
      <c r="F382" s="10">
        <v>1</v>
      </c>
      <c r="G382" s="7">
        <v>138</v>
      </c>
      <c r="H382" s="7">
        <v>138</v>
      </c>
      <c r="I382" s="1" t="str">
        <f>HYPERLINK("http://slimages.macys.com/is/image/MCY/9403271 ")</f>
        <v xml:space="preserve">http://slimages.macys.com/is/image/MCY/9403271 </v>
      </c>
    </row>
    <row r="383" spans="1:9" x14ac:dyDescent="0.2">
      <c r="A383" s="3">
        <v>11307324</v>
      </c>
      <c r="B383" s="3">
        <v>802892713903</v>
      </c>
      <c r="C383" s="5" t="s">
        <v>517</v>
      </c>
      <c r="D383" s="4" t="s">
        <v>125</v>
      </c>
      <c r="E383" s="6" t="s">
        <v>85</v>
      </c>
      <c r="F383" s="10">
        <v>1</v>
      </c>
      <c r="G383" s="7">
        <v>138</v>
      </c>
      <c r="H383" s="7">
        <v>138</v>
      </c>
      <c r="I383" s="1"/>
    </row>
    <row r="384" spans="1:9" x14ac:dyDescent="0.2">
      <c r="A384" s="3">
        <v>11307324</v>
      </c>
      <c r="B384" s="3">
        <v>191202465084</v>
      </c>
      <c r="C384" s="5" t="s">
        <v>518</v>
      </c>
      <c r="D384" s="4" t="s">
        <v>389</v>
      </c>
      <c r="E384" s="6" t="s">
        <v>82</v>
      </c>
      <c r="F384" s="10">
        <v>1</v>
      </c>
      <c r="G384" s="7">
        <v>135</v>
      </c>
      <c r="H384" s="7">
        <v>135</v>
      </c>
      <c r="I384" s="1" t="str">
        <f>HYPERLINK("http://slimages.macys.com/is/image/MCY/9500697 ")</f>
        <v xml:space="preserve">http://slimages.macys.com/is/image/MCY/9500697 </v>
      </c>
    </row>
    <row r="385" spans="1:9" x14ac:dyDescent="0.2">
      <c r="A385" s="3">
        <v>11307324</v>
      </c>
      <c r="B385" s="3">
        <v>882256242935</v>
      </c>
      <c r="C385" s="5" t="s">
        <v>519</v>
      </c>
      <c r="D385" s="4" t="s">
        <v>81</v>
      </c>
      <c r="E385" s="6" t="s">
        <v>173</v>
      </c>
      <c r="F385" s="10">
        <v>1</v>
      </c>
      <c r="G385" s="7">
        <v>129</v>
      </c>
      <c r="H385" s="7">
        <v>129</v>
      </c>
      <c r="I385" s="1" t="str">
        <f>HYPERLINK("http://slimages.macys.com/is/image/MCY/8448355 ")</f>
        <v xml:space="preserve">http://slimages.macys.com/is/image/MCY/8448355 </v>
      </c>
    </row>
    <row r="386" spans="1:9" x14ac:dyDescent="0.2">
      <c r="A386" s="3">
        <v>11307324</v>
      </c>
      <c r="B386" s="3">
        <v>888188312555</v>
      </c>
      <c r="C386" s="5" t="s">
        <v>520</v>
      </c>
      <c r="D386" s="4" t="s">
        <v>109</v>
      </c>
      <c r="E386" s="6" t="s">
        <v>85</v>
      </c>
      <c r="F386" s="10">
        <v>2</v>
      </c>
      <c r="G386" s="7">
        <v>128</v>
      </c>
      <c r="H386" s="7">
        <v>256</v>
      </c>
      <c r="I386" s="1" t="str">
        <f>HYPERLINK("http://slimages.macys.com/is/image/MCY/8396358 ")</f>
        <v xml:space="preserve">http://slimages.macys.com/is/image/MCY/8396358 </v>
      </c>
    </row>
    <row r="387" spans="1:9" x14ac:dyDescent="0.2">
      <c r="A387" s="3">
        <v>11307324</v>
      </c>
      <c r="B387" s="3">
        <v>802892716911</v>
      </c>
      <c r="C387" s="5" t="s">
        <v>521</v>
      </c>
      <c r="D387" s="4" t="s">
        <v>284</v>
      </c>
      <c r="E387" s="6" t="s">
        <v>85</v>
      </c>
      <c r="F387" s="10">
        <v>1</v>
      </c>
      <c r="G387" s="7">
        <v>128</v>
      </c>
      <c r="H387" s="7">
        <v>128</v>
      </c>
      <c r="I387" s="1" t="str">
        <f>HYPERLINK("http://slimages.macys.com/is/image/MCY/8760173 ")</f>
        <v xml:space="preserve">http://slimages.macys.com/is/image/MCY/8760173 </v>
      </c>
    </row>
    <row r="388" spans="1:9" x14ac:dyDescent="0.2">
      <c r="A388" s="3">
        <v>11307324</v>
      </c>
      <c r="B388" s="3">
        <v>802892717062</v>
      </c>
      <c r="C388" s="5" t="s">
        <v>522</v>
      </c>
      <c r="D388" s="4" t="s">
        <v>89</v>
      </c>
      <c r="E388" s="6" t="s">
        <v>85</v>
      </c>
      <c r="F388" s="10">
        <v>1</v>
      </c>
      <c r="G388" s="7">
        <v>128</v>
      </c>
      <c r="H388" s="7">
        <v>128</v>
      </c>
      <c r="I388" s="1" t="str">
        <f>HYPERLINK("http://slimages.macys.com/is/image/MCY/8760173 ")</f>
        <v xml:space="preserve">http://slimages.macys.com/is/image/MCY/8760173 </v>
      </c>
    </row>
    <row r="389" spans="1:9" x14ac:dyDescent="0.2">
      <c r="A389" s="3">
        <v>11307324</v>
      </c>
      <c r="B389" s="3">
        <v>190231083139</v>
      </c>
      <c r="C389" s="5" t="s">
        <v>523</v>
      </c>
      <c r="D389" s="4" t="s">
        <v>262</v>
      </c>
      <c r="E389" s="6" t="s">
        <v>85</v>
      </c>
      <c r="F389" s="10">
        <v>1</v>
      </c>
      <c r="G389" s="7">
        <v>128</v>
      </c>
      <c r="H389" s="7">
        <v>128</v>
      </c>
      <c r="I389" s="1" t="str">
        <f>HYPERLINK("http://slimages.macys.com/is/image/MCY/8734556 ")</f>
        <v xml:space="preserve">http://slimages.macys.com/is/image/MCY/8734556 </v>
      </c>
    </row>
    <row r="390" spans="1:9" x14ac:dyDescent="0.2">
      <c r="A390" s="3">
        <v>11307324</v>
      </c>
      <c r="B390" s="3">
        <v>191202621572</v>
      </c>
      <c r="C390" s="5" t="s">
        <v>370</v>
      </c>
      <c r="D390" s="4" t="s">
        <v>175</v>
      </c>
      <c r="E390" s="6" t="s">
        <v>82</v>
      </c>
      <c r="F390" s="10">
        <v>2</v>
      </c>
      <c r="G390" s="7">
        <v>125</v>
      </c>
      <c r="H390" s="7">
        <v>250</v>
      </c>
      <c r="I390" s="1" t="str">
        <f>HYPERLINK("http://slimages.macys.com/is/image/MCY/9469995 ")</f>
        <v xml:space="preserve">http://slimages.macys.com/is/image/MCY/9469995 </v>
      </c>
    </row>
    <row r="391" spans="1:9" x14ac:dyDescent="0.2">
      <c r="A391" s="3">
        <v>11307324</v>
      </c>
      <c r="B391" s="3">
        <v>711640388815</v>
      </c>
      <c r="C391" s="5" t="s">
        <v>524</v>
      </c>
      <c r="D391" s="4" t="s">
        <v>389</v>
      </c>
      <c r="E391" s="6" t="s">
        <v>82</v>
      </c>
      <c r="F391" s="10">
        <v>1</v>
      </c>
      <c r="G391" s="7">
        <v>119.25</v>
      </c>
      <c r="H391" s="7">
        <v>119.25</v>
      </c>
      <c r="I391" s="1" t="str">
        <f>HYPERLINK("http://slimages.macys.com/is/image/MCY/8460100 ")</f>
        <v xml:space="preserve">http://slimages.macys.com/is/image/MCY/8460100 </v>
      </c>
    </row>
    <row r="392" spans="1:9" x14ac:dyDescent="0.2">
      <c r="A392" s="3">
        <v>11307324</v>
      </c>
      <c r="B392" s="3">
        <v>887986108087</v>
      </c>
      <c r="C392" s="5" t="s">
        <v>525</v>
      </c>
      <c r="D392" s="4" t="s">
        <v>360</v>
      </c>
      <c r="E392" s="6" t="s">
        <v>85</v>
      </c>
      <c r="F392" s="10">
        <v>1</v>
      </c>
      <c r="G392" s="7">
        <v>119</v>
      </c>
      <c r="H392" s="7">
        <v>119</v>
      </c>
      <c r="I392" s="1" t="str">
        <f>HYPERLINK("http://slimages.macys.com/is/image/MCY/9270342 ")</f>
        <v xml:space="preserve">http://slimages.macys.com/is/image/MCY/9270342 </v>
      </c>
    </row>
    <row r="393" spans="1:9" x14ac:dyDescent="0.2">
      <c r="A393" s="3">
        <v>11307324</v>
      </c>
      <c r="B393" s="3">
        <v>887986108056</v>
      </c>
      <c r="C393" s="5" t="s">
        <v>526</v>
      </c>
      <c r="D393" s="4" t="s">
        <v>81</v>
      </c>
      <c r="E393" s="6" t="s">
        <v>85</v>
      </c>
      <c r="F393" s="10">
        <v>1</v>
      </c>
      <c r="G393" s="7">
        <v>119</v>
      </c>
      <c r="H393" s="7">
        <v>119</v>
      </c>
      <c r="I393" s="1" t="str">
        <f>HYPERLINK("http://slimages.macys.com/is/image/MCY/9270988 ")</f>
        <v xml:space="preserve">http://slimages.macys.com/is/image/MCY/9270988 </v>
      </c>
    </row>
    <row r="394" spans="1:9" x14ac:dyDescent="0.2">
      <c r="A394" s="3">
        <v>11307324</v>
      </c>
      <c r="B394" s="3">
        <v>715676024136</v>
      </c>
      <c r="C394" s="5" t="s">
        <v>527</v>
      </c>
      <c r="D394" s="4" t="s">
        <v>184</v>
      </c>
      <c r="E394" s="6" t="s">
        <v>85</v>
      </c>
      <c r="F394" s="10">
        <v>1</v>
      </c>
      <c r="G394" s="7">
        <v>118</v>
      </c>
      <c r="H394" s="7">
        <v>118</v>
      </c>
      <c r="I394" s="1" t="str">
        <f>HYPERLINK("http://slimages.macys.com/is/image/MCY/9238281 ")</f>
        <v xml:space="preserve">http://slimages.macys.com/is/image/MCY/9238281 </v>
      </c>
    </row>
    <row r="395" spans="1:9" x14ac:dyDescent="0.2">
      <c r="A395" s="3">
        <v>11307324</v>
      </c>
      <c r="B395" s="3">
        <v>711640587904</v>
      </c>
      <c r="C395" s="5" t="s">
        <v>528</v>
      </c>
      <c r="D395" s="4" t="s">
        <v>168</v>
      </c>
      <c r="E395" s="6" t="s">
        <v>82</v>
      </c>
      <c r="F395" s="10">
        <v>1</v>
      </c>
      <c r="G395" s="7">
        <v>111.75</v>
      </c>
      <c r="H395" s="7">
        <v>111.75</v>
      </c>
      <c r="I395" s="1" t="str">
        <f>HYPERLINK("http://slimages.macys.com/is/image/MCY/9284220 ")</f>
        <v xml:space="preserve">http://slimages.macys.com/is/image/MCY/9284220 </v>
      </c>
    </row>
    <row r="396" spans="1:9" x14ac:dyDescent="0.2">
      <c r="A396" s="3">
        <v>11307324</v>
      </c>
      <c r="B396" s="3">
        <v>802892717376</v>
      </c>
      <c r="C396" s="5" t="s">
        <v>529</v>
      </c>
      <c r="D396" s="4" t="s">
        <v>87</v>
      </c>
      <c r="E396" s="6" t="s">
        <v>85</v>
      </c>
      <c r="F396" s="10">
        <v>1</v>
      </c>
      <c r="G396" s="7">
        <v>108</v>
      </c>
      <c r="H396" s="7">
        <v>108</v>
      </c>
      <c r="I396" s="1" t="str">
        <f>HYPERLINK("http://slimages.macys.com/is/image/MCY/9345886 ")</f>
        <v xml:space="preserve">http://slimages.macys.com/is/image/MCY/9345886 </v>
      </c>
    </row>
    <row r="397" spans="1:9" x14ac:dyDescent="0.2">
      <c r="A397" s="3">
        <v>11307324</v>
      </c>
      <c r="B397" s="3">
        <v>5025546387076</v>
      </c>
      <c r="C397" s="5" t="s">
        <v>530</v>
      </c>
      <c r="D397" s="4" t="s">
        <v>81</v>
      </c>
      <c r="E397" s="6" t="s">
        <v>185</v>
      </c>
      <c r="F397" s="10">
        <v>1</v>
      </c>
      <c r="G397" s="7">
        <v>105</v>
      </c>
      <c r="H397" s="7">
        <v>105</v>
      </c>
      <c r="I397" s="1" t="str">
        <f>HYPERLINK("http://slimages.macys.com/is/image/MCY/9330062 ")</f>
        <v xml:space="preserve">http://slimages.macys.com/is/image/MCY/9330062 </v>
      </c>
    </row>
    <row r="398" spans="1:9" x14ac:dyDescent="0.2">
      <c r="A398" s="3">
        <v>11307324</v>
      </c>
      <c r="B398" s="3">
        <v>5025546387120</v>
      </c>
      <c r="C398" s="5" t="s">
        <v>531</v>
      </c>
      <c r="D398" s="4"/>
      <c r="E398" s="6" t="s">
        <v>185</v>
      </c>
      <c r="F398" s="10">
        <v>1</v>
      </c>
      <c r="G398" s="7">
        <v>105</v>
      </c>
      <c r="H398" s="7">
        <v>105</v>
      </c>
      <c r="I398" s="1" t="str">
        <f>HYPERLINK("http://slimages.macys.com/is/image/MCY/8761625 ")</f>
        <v xml:space="preserve">http://slimages.macys.com/is/image/MCY/8761625 </v>
      </c>
    </row>
    <row r="399" spans="1:9" x14ac:dyDescent="0.2">
      <c r="A399" s="3">
        <v>11307324</v>
      </c>
      <c r="B399" s="3">
        <v>889487280996</v>
      </c>
      <c r="C399" s="5" t="s">
        <v>532</v>
      </c>
      <c r="D399" s="4" t="s">
        <v>81</v>
      </c>
      <c r="E399" s="6" t="s">
        <v>85</v>
      </c>
      <c r="F399" s="10">
        <v>1</v>
      </c>
      <c r="G399" s="7">
        <v>98</v>
      </c>
      <c r="H399" s="7">
        <v>98</v>
      </c>
      <c r="I399" s="1" t="str">
        <f>HYPERLINK("http://slimages.macys.com/is/image/MCY/8813029 ")</f>
        <v xml:space="preserve">http://slimages.macys.com/is/image/MCY/8813029 </v>
      </c>
    </row>
    <row r="400" spans="1:9" x14ac:dyDescent="0.2">
      <c r="A400" s="3">
        <v>11307324</v>
      </c>
      <c r="B400" s="3">
        <v>889487301813</v>
      </c>
      <c r="C400" s="5" t="s">
        <v>533</v>
      </c>
      <c r="D400" s="4" t="s">
        <v>360</v>
      </c>
      <c r="E400" s="6" t="s">
        <v>85</v>
      </c>
      <c r="F400" s="10">
        <v>5</v>
      </c>
      <c r="G400" s="7">
        <v>98</v>
      </c>
      <c r="H400" s="7">
        <v>490</v>
      </c>
      <c r="I400" s="1" t="str">
        <f>HYPERLINK("http://slimages.macys.com/is/image/MCY/8869459 ")</f>
        <v xml:space="preserve">http://slimages.macys.com/is/image/MCY/8869459 </v>
      </c>
    </row>
    <row r="401" spans="1:9" x14ac:dyDescent="0.2">
      <c r="A401" s="3">
        <v>11307324</v>
      </c>
      <c r="B401" s="3">
        <v>889487296942</v>
      </c>
      <c r="C401" s="5" t="s">
        <v>534</v>
      </c>
      <c r="D401" s="4" t="s">
        <v>223</v>
      </c>
      <c r="E401" s="6" t="s">
        <v>85</v>
      </c>
      <c r="F401" s="10">
        <v>6</v>
      </c>
      <c r="G401" s="7">
        <v>98</v>
      </c>
      <c r="H401" s="7">
        <v>588</v>
      </c>
      <c r="I401" s="1" t="str">
        <f>HYPERLINK("http://slimages.macys.com/is/image/MCY/8869488 ")</f>
        <v xml:space="preserve">http://slimages.macys.com/is/image/MCY/8869488 </v>
      </c>
    </row>
    <row r="402" spans="1:9" x14ac:dyDescent="0.2">
      <c r="A402" s="3">
        <v>11307324</v>
      </c>
      <c r="B402" s="3">
        <v>5025546387045</v>
      </c>
      <c r="C402" s="5" t="s">
        <v>535</v>
      </c>
      <c r="D402" s="4" t="s">
        <v>355</v>
      </c>
      <c r="E402" s="6" t="s">
        <v>185</v>
      </c>
      <c r="F402" s="10">
        <v>1</v>
      </c>
      <c r="G402" s="7">
        <v>95</v>
      </c>
      <c r="H402" s="7">
        <v>95</v>
      </c>
      <c r="I402" s="1" t="str">
        <f>HYPERLINK("http://slimages.macys.com/is/image/MCY/9060485 ")</f>
        <v xml:space="preserve">http://slimages.macys.com/is/image/MCY/9060485 </v>
      </c>
    </row>
    <row r="403" spans="1:9" x14ac:dyDescent="0.2">
      <c r="A403" s="3">
        <v>11307324</v>
      </c>
      <c r="B403" s="3">
        <v>98687216876</v>
      </c>
      <c r="C403" s="5" t="s">
        <v>536</v>
      </c>
      <c r="D403" s="4" t="s">
        <v>81</v>
      </c>
      <c r="E403" s="6" t="s">
        <v>85</v>
      </c>
      <c r="F403" s="10">
        <v>1</v>
      </c>
      <c r="G403" s="7">
        <v>95</v>
      </c>
      <c r="H403" s="7">
        <v>95</v>
      </c>
      <c r="I403" s="1" t="str">
        <f>HYPERLINK("http://slimages.macys.com/is/image/MCY/9615605 ")</f>
        <v xml:space="preserve">http://slimages.macys.com/is/image/MCY/9615605 </v>
      </c>
    </row>
    <row r="404" spans="1:9" x14ac:dyDescent="0.2">
      <c r="A404" s="3">
        <v>11307324</v>
      </c>
      <c r="B404" s="3">
        <v>817795025626</v>
      </c>
      <c r="C404" s="5" t="s">
        <v>537</v>
      </c>
      <c r="D404" s="4"/>
      <c r="E404" s="6" t="s">
        <v>82</v>
      </c>
      <c r="F404" s="10">
        <v>1</v>
      </c>
      <c r="G404" s="7">
        <v>95</v>
      </c>
      <c r="H404" s="7">
        <v>95</v>
      </c>
      <c r="I404" s="1" t="str">
        <f>HYPERLINK("http://images.bloomingdales.com/is/image/BLM/9468297 ")</f>
        <v xml:space="preserve">http://images.bloomingdales.com/is/image/BLM/9468297 </v>
      </c>
    </row>
    <row r="405" spans="1:9" x14ac:dyDescent="0.2">
      <c r="A405" s="3">
        <v>11307324</v>
      </c>
      <c r="B405" s="3">
        <v>747542238903</v>
      </c>
      <c r="C405" s="5" t="s">
        <v>538</v>
      </c>
      <c r="D405" s="4" t="s">
        <v>155</v>
      </c>
      <c r="E405" s="6" t="s">
        <v>85</v>
      </c>
      <c r="F405" s="10">
        <v>1</v>
      </c>
      <c r="G405" s="7">
        <v>89.7</v>
      </c>
      <c r="H405" s="7">
        <v>89.7</v>
      </c>
      <c r="I405" s="1" t="str">
        <f>HYPERLINK("http://slimages.macys.com/is/image/MCY/8926346 ")</f>
        <v xml:space="preserve">http://slimages.macys.com/is/image/MCY/8926346 </v>
      </c>
    </row>
    <row r="406" spans="1:9" x14ac:dyDescent="0.2">
      <c r="A406" s="3">
        <v>11307324</v>
      </c>
      <c r="B406" s="3">
        <v>636206503863</v>
      </c>
      <c r="C406" s="5" t="s">
        <v>399</v>
      </c>
      <c r="D406" s="4" t="s">
        <v>81</v>
      </c>
      <c r="E406" s="6" t="s">
        <v>85</v>
      </c>
      <c r="F406" s="10">
        <v>1</v>
      </c>
      <c r="G406" s="7">
        <v>89.5</v>
      </c>
      <c r="H406" s="7">
        <v>89.5</v>
      </c>
      <c r="I406" s="1" t="str">
        <f>HYPERLINK("http://slimages.macys.com/is/image/MCY/9372470 ")</f>
        <v xml:space="preserve">http://slimages.macys.com/is/image/MCY/9372470 </v>
      </c>
    </row>
    <row r="407" spans="1:9" x14ac:dyDescent="0.2">
      <c r="A407" s="3">
        <v>11307324</v>
      </c>
      <c r="B407" s="3">
        <v>636193241045</v>
      </c>
      <c r="C407" s="5" t="s">
        <v>539</v>
      </c>
      <c r="D407" s="4" t="s">
        <v>115</v>
      </c>
      <c r="E407" s="6" t="s">
        <v>85</v>
      </c>
      <c r="F407" s="10">
        <v>1</v>
      </c>
      <c r="G407" s="7">
        <v>89.5</v>
      </c>
      <c r="H407" s="7">
        <v>89.5</v>
      </c>
      <c r="I407" s="1" t="str">
        <f>HYPERLINK("http://slimages.macys.com/is/image/MCY/9363360 ")</f>
        <v xml:space="preserve">http://slimages.macys.com/is/image/MCY/9363360 </v>
      </c>
    </row>
    <row r="408" spans="1:9" x14ac:dyDescent="0.2">
      <c r="A408" s="3">
        <v>11307324</v>
      </c>
      <c r="B408" s="3">
        <v>882256360394</v>
      </c>
      <c r="C408" s="5" t="s">
        <v>540</v>
      </c>
      <c r="D408" s="4" t="s">
        <v>153</v>
      </c>
      <c r="E408" s="6" t="s">
        <v>85</v>
      </c>
      <c r="F408" s="10">
        <v>1</v>
      </c>
      <c r="G408" s="7">
        <v>89</v>
      </c>
      <c r="H408" s="7">
        <v>89</v>
      </c>
      <c r="I408" s="1" t="str">
        <f>HYPERLINK("http://slimages.macys.com/is/image/MCY/9488460 ")</f>
        <v xml:space="preserve">http://slimages.macys.com/is/image/MCY/9488460 </v>
      </c>
    </row>
    <row r="409" spans="1:9" x14ac:dyDescent="0.2">
      <c r="A409" s="3">
        <v>11307324</v>
      </c>
      <c r="B409" s="3">
        <v>882256350944</v>
      </c>
      <c r="C409" s="5" t="s">
        <v>541</v>
      </c>
      <c r="D409" s="4" t="s">
        <v>84</v>
      </c>
      <c r="E409" s="6" t="s">
        <v>173</v>
      </c>
      <c r="F409" s="10">
        <v>1</v>
      </c>
      <c r="G409" s="7">
        <v>89</v>
      </c>
      <c r="H409" s="7">
        <v>89</v>
      </c>
      <c r="I409" s="1" t="str">
        <f>HYPERLINK("http://slimages.macys.com/is/image/MCY/9437069 ")</f>
        <v xml:space="preserve">http://slimages.macys.com/is/image/MCY/9437069 </v>
      </c>
    </row>
    <row r="410" spans="1:9" x14ac:dyDescent="0.2">
      <c r="A410" s="3">
        <v>11307324</v>
      </c>
      <c r="B410" s="3">
        <v>888188359277</v>
      </c>
      <c r="C410" s="5" t="s">
        <v>542</v>
      </c>
      <c r="D410" s="4" t="s">
        <v>543</v>
      </c>
      <c r="E410" s="6" t="s">
        <v>85</v>
      </c>
      <c r="F410" s="10">
        <v>1</v>
      </c>
      <c r="G410" s="7">
        <v>88</v>
      </c>
      <c r="H410" s="7">
        <v>88</v>
      </c>
      <c r="I410" s="1" t="str">
        <f>HYPERLINK("http://slimages.macys.com/is/image/MCY/8798262 ")</f>
        <v xml:space="preserve">http://slimages.macys.com/is/image/MCY/8798262 </v>
      </c>
    </row>
    <row r="411" spans="1:9" x14ac:dyDescent="0.2">
      <c r="A411" s="3">
        <v>11307324</v>
      </c>
      <c r="B411" s="3">
        <v>883820802944</v>
      </c>
      <c r="C411" s="5" t="s">
        <v>544</v>
      </c>
      <c r="D411" s="4" t="s">
        <v>81</v>
      </c>
      <c r="E411" s="6" t="s">
        <v>85</v>
      </c>
      <c r="F411" s="10">
        <v>1</v>
      </c>
      <c r="G411" s="7">
        <v>88</v>
      </c>
      <c r="H411" s="7">
        <v>88</v>
      </c>
      <c r="I411" s="1" t="str">
        <f>HYPERLINK("http://slimages.macys.com/is/image/MCY/9284733 ")</f>
        <v xml:space="preserve">http://slimages.macys.com/is/image/MCY/9284733 </v>
      </c>
    </row>
    <row r="412" spans="1:9" x14ac:dyDescent="0.2">
      <c r="A412" s="3">
        <v>11307324</v>
      </c>
      <c r="B412" s="3">
        <v>802892715594</v>
      </c>
      <c r="C412" s="5" t="s">
        <v>545</v>
      </c>
      <c r="D412" s="4" t="s">
        <v>135</v>
      </c>
      <c r="E412" s="6" t="s">
        <v>85</v>
      </c>
      <c r="F412" s="10">
        <v>1</v>
      </c>
      <c r="G412" s="7">
        <v>88</v>
      </c>
      <c r="H412" s="7">
        <v>88</v>
      </c>
      <c r="I412" s="1" t="str">
        <f>HYPERLINK("http://slimages.macys.com/is/image/MCY/8824531 ")</f>
        <v xml:space="preserve">http://slimages.macys.com/is/image/MCY/8824531 </v>
      </c>
    </row>
    <row r="413" spans="1:9" x14ac:dyDescent="0.2">
      <c r="A413" s="3">
        <v>11307324</v>
      </c>
      <c r="B413" s="3">
        <v>190231067368</v>
      </c>
      <c r="C413" s="5" t="s">
        <v>546</v>
      </c>
      <c r="D413" s="4" t="s">
        <v>81</v>
      </c>
      <c r="E413" s="6" t="s">
        <v>85</v>
      </c>
      <c r="F413" s="10">
        <v>1</v>
      </c>
      <c r="G413" s="7">
        <v>88</v>
      </c>
      <c r="H413" s="7">
        <v>88</v>
      </c>
      <c r="I413" s="1" t="str">
        <f>HYPERLINK("http://slimages.macys.com/is/image/MCY/8447975 ")</f>
        <v xml:space="preserve">http://slimages.macys.com/is/image/MCY/8447975 </v>
      </c>
    </row>
    <row r="414" spans="1:9" x14ac:dyDescent="0.2">
      <c r="A414" s="3">
        <v>11307324</v>
      </c>
      <c r="B414" s="3">
        <v>889487356073</v>
      </c>
      <c r="C414" s="5" t="s">
        <v>404</v>
      </c>
      <c r="D414" s="4" t="s">
        <v>81</v>
      </c>
      <c r="E414" s="6" t="s">
        <v>85</v>
      </c>
      <c r="F414" s="10">
        <v>1</v>
      </c>
      <c r="G414" s="7">
        <v>88</v>
      </c>
      <c r="H414" s="7">
        <v>88</v>
      </c>
      <c r="I414" s="1" t="str">
        <f>HYPERLINK("http://slimages.macys.com/is/image/MCY/9318957 ")</f>
        <v xml:space="preserve">http://slimages.macys.com/is/image/MCY/9318957 </v>
      </c>
    </row>
    <row r="415" spans="1:9" x14ac:dyDescent="0.2">
      <c r="A415" s="3">
        <v>11307324</v>
      </c>
      <c r="B415" s="3">
        <v>889487297505</v>
      </c>
      <c r="C415" s="5" t="s">
        <v>547</v>
      </c>
      <c r="D415" s="4" t="s">
        <v>81</v>
      </c>
      <c r="E415" s="6" t="s">
        <v>85</v>
      </c>
      <c r="F415" s="10">
        <v>2</v>
      </c>
      <c r="G415" s="7">
        <v>88</v>
      </c>
      <c r="H415" s="7">
        <v>176</v>
      </c>
      <c r="I415" s="1" t="str">
        <f>HYPERLINK("http://slimages.macys.com/is/image/MCY/9051825 ")</f>
        <v xml:space="preserve">http://slimages.macys.com/is/image/MCY/9051825 </v>
      </c>
    </row>
    <row r="416" spans="1:9" x14ac:dyDescent="0.2">
      <c r="A416" s="3">
        <v>11307324</v>
      </c>
      <c r="B416" s="3">
        <v>889487386155</v>
      </c>
      <c r="C416" s="5" t="s">
        <v>548</v>
      </c>
      <c r="D416" s="4" t="s">
        <v>238</v>
      </c>
      <c r="E416" s="6" t="s">
        <v>85</v>
      </c>
      <c r="F416" s="10">
        <v>1</v>
      </c>
      <c r="G416" s="7">
        <v>88</v>
      </c>
      <c r="H416" s="7">
        <v>88</v>
      </c>
      <c r="I416" s="1" t="str">
        <f>HYPERLINK("http://slimages.macys.com/is/image/MCY/9192277 ")</f>
        <v xml:space="preserve">http://slimages.macys.com/is/image/MCY/9192277 </v>
      </c>
    </row>
    <row r="417" spans="1:9" x14ac:dyDescent="0.2">
      <c r="A417" s="3">
        <v>11307324</v>
      </c>
      <c r="B417" s="3">
        <v>889487235170</v>
      </c>
      <c r="C417" s="5" t="s">
        <v>549</v>
      </c>
      <c r="D417" s="4" t="s">
        <v>135</v>
      </c>
      <c r="E417" s="6" t="s">
        <v>85</v>
      </c>
      <c r="F417" s="10">
        <v>1</v>
      </c>
      <c r="G417" s="7">
        <v>88</v>
      </c>
      <c r="H417" s="7">
        <v>88</v>
      </c>
      <c r="I417" s="1" t="str">
        <f>HYPERLINK("http://slimages.macys.com/is/image/MCY/8803760 ")</f>
        <v xml:space="preserve">http://slimages.macys.com/is/image/MCY/8803760 </v>
      </c>
    </row>
    <row r="418" spans="1:9" x14ac:dyDescent="0.2">
      <c r="A418" s="3">
        <v>11307324</v>
      </c>
      <c r="B418" s="3">
        <v>815780026757</v>
      </c>
      <c r="C418" s="5" t="s">
        <v>550</v>
      </c>
      <c r="D418" s="4" t="s">
        <v>135</v>
      </c>
      <c r="E418" s="6" t="s">
        <v>82</v>
      </c>
      <c r="F418" s="10">
        <v>1</v>
      </c>
      <c r="G418" s="7">
        <v>85</v>
      </c>
      <c r="H418" s="7">
        <v>85</v>
      </c>
      <c r="I418" s="1" t="str">
        <f>HYPERLINK("http://images.bloomingdales.com/is/image/BLM/9242652 ")</f>
        <v xml:space="preserve">http://images.bloomingdales.com/is/image/BLM/9242652 </v>
      </c>
    </row>
    <row r="419" spans="1:9" x14ac:dyDescent="0.2">
      <c r="A419" s="3">
        <v>11307324</v>
      </c>
      <c r="B419" s="3">
        <v>740374885666</v>
      </c>
      <c r="C419" s="5" t="s">
        <v>551</v>
      </c>
      <c r="D419" s="4" t="s">
        <v>279</v>
      </c>
      <c r="E419" s="6" t="s">
        <v>85</v>
      </c>
      <c r="F419" s="10">
        <v>1</v>
      </c>
      <c r="G419" s="7">
        <v>84.78</v>
      </c>
      <c r="H419" s="7">
        <v>84.78</v>
      </c>
      <c r="I419" s="1" t="str">
        <f>HYPERLINK("http://slimages.macys.com/is/image/MCY/9792945 ")</f>
        <v xml:space="preserve">http://slimages.macys.com/is/image/MCY/9792945 </v>
      </c>
    </row>
    <row r="420" spans="1:9" x14ac:dyDescent="0.2">
      <c r="A420" s="3">
        <v>11307324</v>
      </c>
      <c r="B420" s="3">
        <v>747542238491</v>
      </c>
      <c r="C420" s="5" t="s">
        <v>552</v>
      </c>
      <c r="D420" s="4" t="s">
        <v>81</v>
      </c>
      <c r="E420" s="6" t="s">
        <v>85</v>
      </c>
      <c r="F420" s="10">
        <v>1</v>
      </c>
      <c r="G420" s="7">
        <v>83.7</v>
      </c>
      <c r="H420" s="7">
        <v>83.7</v>
      </c>
      <c r="I420" s="1" t="str">
        <f>HYPERLINK("http://slimages.macys.com/is/image/MCY/8846075 ")</f>
        <v xml:space="preserve">http://slimages.macys.com/is/image/MCY/8846075 </v>
      </c>
    </row>
    <row r="421" spans="1:9" x14ac:dyDescent="0.2">
      <c r="A421" s="3">
        <v>11307324</v>
      </c>
      <c r="B421" s="3">
        <v>77979448317</v>
      </c>
      <c r="C421" s="5" t="s">
        <v>553</v>
      </c>
      <c r="D421" s="4"/>
      <c r="E421" s="6" t="s">
        <v>85</v>
      </c>
      <c r="F421" s="10">
        <v>1</v>
      </c>
      <c r="G421" s="7">
        <v>79.5</v>
      </c>
      <c r="H421" s="7">
        <v>79.5</v>
      </c>
      <c r="I421" s="1" t="str">
        <f>HYPERLINK("http://slimages.macys.com/is/image/MCY/3915193 ")</f>
        <v xml:space="preserve">http://slimages.macys.com/is/image/MCY/3915193 </v>
      </c>
    </row>
    <row r="422" spans="1:9" x14ac:dyDescent="0.2">
      <c r="A422" s="3">
        <v>11307324</v>
      </c>
      <c r="B422" s="3">
        <v>886003487280</v>
      </c>
      <c r="C422" s="5" t="s">
        <v>211</v>
      </c>
      <c r="D422" s="4" t="s">
        <v>117</v>
      </c>
      <c r="E422" s="6" t="s">
        <v>82</v>
      </c>
      <c r="F422" s="10">
        <v>1</v>
      </c>
      <c r="G422" s="7">
        <v>78</v>
      </c>
      <c r="H422" s="7">
        <v>78</v>
      </c>
      <c r="I422" s="1" t="str">
        <f>HYPERLINK("http://slimages.macys.com/is/image/MCY/8763696 ")</f>
        <v xml:space="preserve">http://slimages.macys.com/is/image/MCY/8763696 </v>
      </c>
    </row>
    <row r="423" spans="1:9" x14ac:dyDescent="0.2">
      <c r="A423" s="3">
        <v>11307324</v>
      </c>
      <c r="B423" s="3">
        <v>719220643828</v>
      </c>
      <c r="C423" s="5" t="s">
        <v>554</v>
      </c>
      <c r="D423" s="4" t="s">
        <v>184</v>
      </c>
      <c r="E423" s="6" t="s">
        <v>85</v>
      </c>
      <c r="F423" s="10">
        <v>2</v>
      </c>
      <c r="G423" s="7">
        <v>78</v>
      </c>
      <c r="H423" s="7">
        <v>156</v>
      </c>
      <c r="I423" s="1" t="str">
        <f>HYPERLINK("http://slimages.macys.com/is/image/MCY/8660479 ")</f>
        <v xml:space="preserve">http://slimages.macys.com/is/image/MCY/8660479 </v>
      </c>
    </row>
    <row r="424" spans="1:9" x14ac:dyDescent="0.2">
      <c r="A424" s="3">
        <v>11307324</v>
      </c>
      <c r="B424" s="3">
        <v>715676231947</v>
      </c>
      <c r="C424" s="5" t="s">
        <v>555</v>
      </c>
      <c r="D424" s="4" t="s">
        <v>107</v>
      </c>
      <c r="E424" s="6" t="s">
        <v>85</v>
      </c>
      <c r="F424" s="10">
        <v>1</v>
      </c>
      <c r="G424" s="7">
        <v>78</v>
      </c>
      <c r="H424" s="7">
        <v>78</v>
      </c>
      <c r="I424" s="1" t="str">
        <f>HYPERLINK("http://slimages.macys.com/is/image/MCY/9460342 ")</f>
        <v xml:space="preserve">http://slimages.macys.com/is/image/MCY/9460342 </v>
      </c>
    </row>
    <row r="425" spans="1:9" x14ac:dyDescent="0.2">
      <c r="A425" s="3">
        <v>11307324</v>
      </c>
      <c r="B425" s="3">
        <v>886003513309</v>
      </c>
      <c r="C425" s="5" t="s">
        <v>556</v>
      </c>
      <c r="D425" s="4" t="s">
        <v>87</v>
      </c>
      <c r="E425" s="6" t="s">
        <v>82</v>
      </c>
      <c r="F425" s="10">
        <v>1</v>
      </c>
      <c r="G425" s="7">
        <v>78</v>
      </c>
      <c r="H425" s="7">
        <v>78</v>
      </c>
      <c r="I425" s="1" t="str">
        <f>HYPERLINK("http://slimages.macys.com/is/image/MCY/9279649 ")</f>
        <v xml:space="preserve">http://slimages.macys.com/is/image/MCY/9279649 </v>
      </c>
    </row>
    <row r="426" spans="1:9" x14ac:dyDescent="0.2">
      <c r="A426" s="3">
        <v>11307324</v>
      </c>
      <c r="B426" s="3">
        <v>889487286066</v>
      </c>
      <c r="C426" s="5" t="s">
        <v>557</v>
      </c>
      <c r="D426" s="4" t="s">
        <v>81</v>
      </c>
      <c r="E426" s="6" t="s">
        <v>85</v>
      </c>
      <c r="F426" s="10">
        <v>1</v>
      </c>
      <c r="G426" s="7">
        <v>78</v>
      </c>
      <c r="H426" s="7">
        <v>78</v>
      </c>
      <c r="I426" s="1" t="str">
        <f>HYPERLINK("http://slimages.macys.com/is/image/MCY/9061569 ")</f>
        <v xml:space="preserve">http://slimages.macys.com/is/image/MCY/9061569 </v>
      </c>
    </row>
    <row r="427" spans="1:9" x14ac:dyDescent="0.2">
      <c r="A427" s="3">
        <v>11307324</v>
      </c>
      <c r="B427" s="3">
        <v>889532446476</v>
      </c>
      <c r="C427" s="5" t="s">
        <v>558</v>
      </c>
      <c r="D427" s="4" t="s">
        <v>158</v>
      </c>
      <c r="E427" s="6" t="s">
        <v>82</v>
      </c>
      <c r="F427" s="10">
        <v>1</v>
      </c>
      <c r="G427" s="7">
        <v>75</v>
      </c>
      <c r="H427" s="7">
        <v>75</v>
      </c>
      <c r="I427" s="1" t="str">
        <f>HYPERLINK("http://slimages.macys.com/is/image/MCY/3845478 ")</f>
        <v xml:space="preserve">http://slimages.macys.com/is/image/MCY/3845478 </v>
      </c>
    </row>
    <row r="428" spans="1:9" x14ac:dyDescent="0.2">
      <c r="A428" s="3">
        <v>11307324</v>
      </c>
      <c r="B428" s="3">
        <v>5025546386598</v>
      </c>
      <c r="C428" s="5" t="s">
        <v>559</v>
      </c>
      <c r="D428" s="4" t="s">
        <v>98</v>
      </c>
      <c r="E428" s="6"/>
      <c r="F428" s="10">
        <v>2</v>
      </c>
      <c r="G428" s="7">
        <v>75</v>
      </c>
      <c r="H428" s="7">
        <v>150</v>
      </c>
      <c r="I428" s="1" t="str">
        <f>HYPERLINK("http://slimages.macys.com/is/image/MCY/9288662 ")</f>
        <v xml:space="preserve">http://slimages.macys.com/is/image/MCY/9288662 </v>
      </c>
    </row>
    <row r="429" spans="1:9" x14ac:dyDescent="0.2">
      <c r="A429" s="3">
        <v>11307324</v>
      </c>
      <c r="B429" s="3">
        <v>5025546386765</v>
      </c>
      <c r="C429" s="5" t="s">
        <v>560</v>
      </c>
      <c r="D429" s="4" t="s">
        <v>117</v>
      </c>
      <c r="E429" s="6"/>
      <c r="F429" s="10">
        <v>1</v>
      </c>
      <c r="G429" s="7">
        <v>75</v>
      </c>
      <c r="H429" s="7">
        <v>75</v>
      </c>
      <c r="I429" s="1" t="str">
        <f>HYPERLINK("http://slimages.macys.com/is/image/MCY/9347276 ")</f>
        <v xml:space="preserve">http://slimages.macys.com/is/image/MCY/9347276 </v>
      </c>
    </row>
    <row r="430" spans="1:9" x14ac:dyDescent="0.2">
      <c r="A430" s="3">
        <v>11307324</v>
      </c>
      <c r="B430" s="3">
        <v>723764563108</v>
      </c>
      <c r="C430" s="5" t="s">
        <v>561</v>
      </c>
      <c r="D430" s="4" t="s">
        <v>422</v>
      </c>
      <c r="E430" s="6" t="s">
        <v>82</v>
      </c>
      <c r="F430" s="10">
        <v>1</v>
      </c>
      <c r="G430" s="7">
        <v>75</v>
      </c>
      <c r="H430" s="7">
        <v>75</v>
      </c>
      <c r="I430" s="1" t="str">
        <f>HYPERLINK("http://slimages.macys.com/is/image/MCY/8652510 ")</f>
        <v xml:space="preserve">http://slimages.macys.com/is/image/MCY/8652510 </v>
      </c>
    </row>
    <row r="431" spans="1:9" x14ac:dyDescent="0.2">
      <c r="A431" s="3">
        <v>11307324</v>
      </c>
      <c r="B431" s="3">
        <v>711640593653</v>
      </c>
      <c r="C431" s="5" t="s">
        <v>425</v>
      </c>
      <c r="D431" s="4" t="s">
        <v>103</v>
      </c>
      <c r="E431" s="6" t="s">
        <v>82</v>
      </c>
      <c r="F431" s="10">
        <v>1</v>
      </c>
      <c r="G431" s="7">
        <v>74.25</v>
      </c>
      <c r="H431" s="7">
        <v>74.25</v>
      </c>
      <c r="I431" s="1" t="str">
        <f>HYPERLINK("http://slimages.macys.com/is/image/MCY/9728744 ")</f>
        <v xml:space="preserve">http://slimages.macys.com/is/image/MCY/9728744 </v>
      </c>
    </row>
    <row r="432" spans="1:9" x14ac:dyDescent="0.2">
      <c r="A432" s="3">
        <v>11307324</v>
      </c>
      <c r="B432" s="3">
        <v>745021257889</v>
      </c>
      <c r="C432" s="5" t="s">
        <v>427</v>
      </c>
      <c r="D432" s="4" t="s">
        <v>81</v>
      </c>
      <c r="E432" s="6" t="s">
        <v>85</v>
      </c>
      <c r="F432" s="10">
        <v>1</v>
      </c>
      <c r="G432" s="7">
        <v>69.22</v>
      </c>
      <c r="H432" s="7">
        <v>69.22</v>
      </c>
      <c r="I432" s="1" t="str">
        <f>HYPERLINK("http://slimages.macys.com/is/image/MCY/9657908 ")</f>
        <v xml:space="preserve">http://slimages.macys.com/is/image/MCY/9657908 </v>
      </c>
    </row>
    <row r="433" spans="1:9" x14ac:dyDescent="0.2">
      <c r="A433" s="3">
        <v>11307324</v>
      </c>
      <c r="B433" s="3">
        <v>887986088860</v>
      </c>
      <c r="C433" s="5" t="s">
        <v>562</v>
      </c>
      <c r="D433" s="4" t="s">
        <v>220</v>
      </c>
      <c r="E433" s="6" t="s">
        <v>85</v>
      </c>
      <c r="F433" s="10">
        <v>1</v>
      </c>
      <c r="G433" s="7">
        <v>69</v>
      </c>
      <c r="H433" s="7">
        <v>69</v>
      </c>
      <c r="I433" s="1" t="str">
        <f>HYPERLINK("http://slimages.macys.com/is/image/MCY/2949997 ")</f>
        <v xml:space="preserve">http://slimages.macys.com/is/image/MCY/2949997 </v>
      </c>
    </row>
    <row r="434" spans="1:9" x14ac:dyDescent="0.2">
      <c r="A434" s="3">
        <v>11307324</v>
      </c>
      <c r="B434" s="3">
        <v>887986027067</v>
      </c>
      <c r="C434" s="5" t="s">
        <v>429</v>
      </c>
      <c r="D434" s="4" t="s">
        <v>205</v>
      </c>
      <c r="E434" s="6" t="s">
        <v>85</v>
      </c>
      <c r="F434" s="10">
        <v>2</v>
      </c>
      <c r="G434" s="7">
        <v>69</v>
      </c>
      <c r="H434" s="7">
        <v>138</v>
      </c>
      <c r="I434" s="1" t="str">
        <f>HYPERLINK("http://slimages.macys.com/is/image/MCY/8225186 ")</f>
        <v xml:space="preserve">http://slimages.macys.com/is/image/MCY/8225186 </v>
      </c>
    </row>
    <row r="435" spans="1:9" x14ac:dyDescent="0.2">
      <c r="A435" s="3">
        <v>11307324</v>
      </c>
      <c r="B435" s="3">
        <v>882256303124</v>
      </c>
      <c r="C435" s="5" t="s">
        <v>563</v>
      </c>
      <c r="D435" s="4" t="s">
        <v>422</v>
      </c>
      <c r="E435" s="6" t="s">
        <v>173</v>
      </c>
      <c r="F435" s="10">
        <v>1</v>
      </c>
      <c r="G435" s="7">
        <v>69</v>
      </c>
      <c r="H435" s="7">
        <v>69</v>
      </c>
      <c r="I435" s="1" t="str">
        <f>HYPERLINK("http://slimages.macys.com/is/image/MCY/3451996 ")</f>
        <v xml:space="preserve">http://slimages.macys.com/is/image/MCY/3451996 </v>
      </c>
    </row>
    <row r="436" spans="1:9" x14ac:dyDescent="0.2">
      <c r="A436" s="3">
        <v>11307324</v>
      </c>
      <c r="B436" s="3">
        <v>886003510940</v>
      </c>
      <c r="C436" s="5" t="s">
        <v>564</v>
      </c>
      <c r="D436" s="4" t="s">
        <v>235</v>
      </c>
      <c r="E436" s="6" t="s">
        <v>82</v>
      </c>
      <c r="F436" s="10">
        <v>1</v>
      </c>
      <c r="G436" s="7">
        <v>68</v>
      </c>
      <c r="H436" s="7">
        <v>68</v>
      </c>
      <c r="I436" s="1" t="str">
        <f>HYPERLINK("http://slimages.macys.com/is/image/MCY/9421926 ")</f>
        <v xml:space="preserve">http://slimages.macys.com/is/image/MCY/9421926 </v>
      </c>
    </row>
    <row r="437" spans="1:9" x14ac:dyDescent="0.2">
      <c r="A437" s="3">
        <v>11307324</v>
      </c>
      <c r="B437" s="3">
        <v>886003510933</v>
      </c>
      <c r="C437" s="5" t="s">
        <v>565</v>
      </c>
      <c r="D437" s="4" t="s">
        <v>235</v>
      </c>
      <c r="E437" s="6" t="s">
        <v>82</v>
      </c>
      <c r="F437" s="10">
        <v>1</v>
      </c>
      <c r="G437" s="7">
        <v>68</v>
      </c>
      <c r="H437" s="7">
        <v>68</v>
      </c>
      <c r="I437" s="1" t="str">
        <f>HYPERLINK("http://slimages.macys.com/is/image/MCY/9421926 ")</f>
        <v xml:space="preserve">http://slimages.macys.com/is/image/MCY/9421926 </v>
      </c>
    </row>
    <row r="438" spans="1:9" x14ac:dyDescent="0.2">
      <c r="A438" s="3">
        <v>11307324</v>
      </c>
      <c r="B438" s="3">
        <v>715676140218</v>
      </c>
      <c r="C438" s="5" t="s">
        <v>566</v>
      </c>
      <c r="D438" s="4" t="s">
        <v>103</v>
      </c>
      <c r="E438" s="6" t="s">
        <v>85</v>
      </c>
      <c r="F438" s="10">
        <v>1</v>
      </c>
      <c r="G438" s="7">
        <v>68</v>
      </c>
      <c r="H438" s="7">
        <v>68</v>
      </c>
      <c r="I438" s="1" t="str">
        <f>HYPERLINK("http://slimages.macys.com/is/image/MCY/9612754 ")</f>
        <v xml:space="preserve">http://slimages.macys.com/is/image/MCY/9612754 </v>
      </c>
    </row>
    <row r="439" spans="1:9" x14ac:dyDescent="0.2">
      <c r="A439" s="3">
        <v>11307324</v>
      </c>
      <c r="B439" s="3">
        <v>889487310501</v>
      </c>
      <c r="C439" s="5" t="s">
        <v>567</v>
      </c>
      <c r="D439" s="4" t="s">
        <v>81</v>
      </c>
      <c r="E439" s="6" t="s">
        <v>85</v>
      </c>
      <c r="F439" s="10">
        <v>1</v>
      </c>
      <c r="G439" s="7">
        <v>68</v>
      </c>
      <c r="H439" s="7">
        <v>68</v>
      </c>
      <c r="I439" s="1" t="str">
        <f>HYPERLINK("http://slimages.macys.com/is/image/MCY/9387290 ")</f>
        <v xml:space="preserve">http://slimages.macys.com/is/image/MCY/9387290 </v>
      </c>
    </row>
    <row r="440" spans="1:9" x14ac:dyDescent="0.2">
      <c r="A440" s="3">
        <v>11307324</v>
      </c>
      <c r="B440" s="3">
        <v>711640588178</v>
      </c>
      <c r="C440" s="5" t="s">
        <v>568</v>
      </c>
      <c r="D440" s="4" t="s">
        <v>353</v>
      </c>
      <c r="E440" s="6" t="s">
        <v>82</v>
      </c>
      <c r="F440" s="10">
        <v>1</v>
      </c>
      <c r="G440" s="7">
        <v>66.75</v>
      </c>
      <c r="H440" s="7">
        <v>66.75</v>
      </c>
      <c r="I440" s="1" t="str">
        <f>HYPERLINK("http://slimages.macys.com/is/image/MCY/9516405 ")</f>
        <v xml:space="preserve">http://slimages.macys.com/is/image/MCY/9516405 </v>
      </c>
    </row>
    <row r="441" spans="1:9" x14ac:dyDescent="0.2">
      <c r="A441" s="3">
        <v>11307324</v>
      </c>
      <c r="B441" s="3">
        <v>723764545456</v>
      </c>
      <c r="C441" s="5" t="s">
        <v>569</v>
      </c>
      <c r="D441" s="4" t="s">
        <v>355</v>
      </c>
      <c r="E441" s="6" t="s">
        <v>82</v>
      </c>
      <c r="F441" s="10">
        <v>1</v>
      </c>
      <c r="G441" s="7">
        <v>65</v>
      </c>
      <c r="H441" s="7">
        <v>65</v>
      </c>
      <c r="I441" s="1" t="str">
        <f>HYPERLINK("http://slimages.macys.com/is/image/MCY/9059266 ")</f>
        <v xml:space="preserve">http://slimages.macys.com/is/image/MCY/9059266 </v>
      </c>
    </row>
    <row r="442" spans="1:9" x14ac:dyDescent="0.2">
      <c r="A442" s="3">
        <v>11307324</v>
      </c>
      <c r="B442" s="3">
        <v>740347842634</v>
      </c>
      <c r="C442" s="5" t="s">
        <v>570</v>
      </c>
      <c r="D442" s="4" t="s">
        <v>160</v>
      </c>
      <c r="E442" s="6" t="s">
        <v>85</v>
      </c>
      <c r="F442" s="10">
        <v>3</v>
      </c>
      <c r="G442" s="7">
        <v>61.44</v>
      </c>
      <c r="H442" s="7">
        <v>184.32</v>
      </c>
      <c r="I442" s="1" t="str">
        <f>HYPERLINK("http://slimages.macys.com/is/image/MCY/9488708 ")</f>
        <v xml:space="preserve">http://slimages.macys.com/is/image/MCY/9488708 </v>
      </c>
    </row>
    <row r="443" spans="1:9" x14ac:dyDescent="0.2">
      <c r="A443" s="3">
        <v>11307324</v>
      </c>
      <c r="B443" s="3">
        <v>715676135177</v>
      </c>
      <c r="C443" s="5" t="s">
        <v>571</v>
      </c>
      <c r="D443" s="4" t="s">
        <v>274</v>
      </c>
      <c r="E443" s="6" t="s">
        <v>85</v>
      </c>
      <c r="F443" s="10">
        <v>2</v>
      </c>
      <c r="G443" s="7">
        <v>58</v>
      </c>
      <c r="H443" s="7">
        <v>116</v>
      </c>
      <c r="I443" s="1" t="str">
        <f>HYPERLINK("http://slimages.macys.com/is/image/MCY/9612799 ")</f>
        <v xml:space="preserve">http://slimages.macys.com/is/image/MCY/9612799 </v>
      </c>
    </row>
    <row r="444" spans="1:9" x14ac:dyDescent="0.2">
      <c r="A444" s="3">
        <v>11307324</v>
      </c>
      <c r="B444" s="3">
        <v>802892707551</v>
      </c>
      <c r="C444" s="5" t="s">
        <v>572</v>
      </c>
      <c r="D444" s="4" t="s">
        <v>284</v>
      </c>
      <c r="E444" s="6" t="s">
        <v>85</v>
      </c>
      <c r="F444" s="10">
        <v>1</v>
      </c>
      <c r="G444" s="7">
        <v>58</v>
      </c>
      <c r="H444" s="7">
        <v>58</v>
      </c>
      <c r="I444" s="1" t="str">
        <f>HYPERLINK("http://slimages.macys.com/is/image/MCY/9379345 ")</f>
        <v xml:space="preserve">http://slimages.macys.com/is/image/MCY/9379345 </v>
      </c>
    </row>
    <row r="445" spans="1:9" x14ac:dyDescent="0.2">
      <c r="A445" s="3">
        <v>11307324</v>
      </c>
      <c r="B445" s="3">
        <v>889487304258</v>
      </c>
      <c r="C445" s="5" t="s">
        <v>573</v>
      </c>
      <c r="D445" s="4" t="s">
        <v>135</v>
      </c>
      <c r="E445" s="6" t="s">
        <v>85</v>
      </c>
      <c r="F445" s="10">
        <v>2</v>
      </c>
      <c r="G445" s="7">
        <v>58</v>
      </c>
      <c r="H445" s="7">
        <v>116</v>
      </c>
      <c r="I445" s="1" t="str">
        <f>HYPERLINK("http://slimages.macys.com/is/image/MCY/8969712 ")</f>
        <v xml:space="preserve">http://slimages.macys.com/is/image/MCY/8969712 </v>
      </c>
    </row>
    <row r="446" spans="1:9" x14ac:dyDescent="0.2">
      <c r="A446" s="3">
        <v>11307324</v>
      </c>
      <c r="B446" s="3">
        <v>492031083778</v>
      </c>
      <c r="C446" s="5" t="s">
        <v>574</v>
      </c>
      <c r="D446" s="4" t="s">
        <v>220</v>
      </c>
      <c r="E446" s="6" t="s">
        <v>82</v>
      </c>
      <c r="F446" s="10">
        <v>1</v>
      </c>
      <c r="G446" s="7">
        <v>50</v>
      </c>
      <c r="H446" s="7">
        <v>50</v>
      </c>
      <c r="I446" s="1" t="str">
        <f>HYPERLINK("http://images.bloomingdales.com/is/image/BLM/9390573 ")</f>
        <v xml:space="preserve">http://images.bloomingdales.com/is/image/BLM/9390573 </v>
      </c>
    </row>
    <row r="447" spans="1:9" x14ac:dyDescent="0.2">
      <c r="A447" s="3">
        <v>11307324</v>
      </c>
      <c r="B447" s="3">
        <v>191202470842</v>
      </c>
      <c r="C447" s="5" t="s">
        <v>575</v>
      </c>
      <c r="D447" s="4" t="s">
        <v>94</v>
      </c>
      <c r="E447" s="6" t="s">
        <v>82</v>
      </c>
      <c r="F447" s="10">
        <v>1</v>
      </c>
      <c r="G447" s="7">
        <v>45</v>
      </c>
      <c r="H447" s="7">
        <v>45</v>
      </c>
      <c r="I447" s="1" t="str">
        <f>HYPERLINK("http://slimages.macys.com/is/image/MCY/9433470 ")</f>
        <v xml:space="preserve">http://slimages.macys.com/is/image/MCY/9433470 </v>
      </c>
    </row>
    <row r="448" spans="1:9" x14ac:dyDescent="0.2">
      <c r="A448" s="3">
        <v>11307324</v>
      </c>
      <c r="B448" s="3">
        <v>191202471092</v>
      </c>
      <c r="C448" s="5" t="s">
        <v>576</v>
      </c>
      <c r="D448" s="4" t="s">
        <v>100</v>
      </c>
      <c r="E448" s="6" t="s">
        <v>82</v>
      </c>
      <c r="F448" s="10">
        <v>2</v>
      </c>
      <c r="G448" s="7">
        <v>45</v>
      </c>
      <c r="H448" s="7">
        <v>90</v>
      </c>
      <c r="I448" s="1" t="str">
        <f>HYPERLINK("http://slimages.macys.com/is/image/MCY/9433470 ")</f>
        <v xml:space="preserve">http://slimages.macys.com/is/image/MCY/9433470 </v>
      </c>
    </row>
    <row r="449" spans="1:9" x14ac:dyDescent="0.2">
      <c r="A449" s="3">
        <v>11307324</v>
      </c>
      <c r="B449" s="3">
        <v>191202470033</v>
      </c>
      <c r="C449" s="5" t="s">
        <v>455</v>
      </c>
      <c r="D449" s="4" t="s">
        <v>100</v>
      </c>
      <c r="E449" s="6" t="s">
        <v>82</v>
      </c>
      <c r="F449" s="10">
        <v>2</v>
      </c>
      <c r="G449" s="7">
        <v>35</v>
      </c>
      <c r="H449" s="7">
        <v>70</v>
      </c>
      <c r="I449" s="1" t="str">
        <f>HYPERLINK("http://slimages.macys.com/is/image/MCY/9471806 ")</f>
        <v xml:space="preserve">http://slimages.macys.com/is/image/MCY/9471806 </v>
      </c>
    </row>
    <row r="450" spans="1:9" x14ac:dyDescent="0.2">
      <c r="A450" s="3">
        <v>11307324</v>
      </c>
      <c r="B450" s="3">
        <v>191202470224</v>
      </c>
      <c r="C450" s="5" t="s">
        <v>457</v>
      </c>
      <c r="D450" s="4" t="s">
        <v>94</v>
      </c>
      <c r="E450" s="6" t="s">
        <v>82</v>
      </c>
      <c r="F450" s="10">
        <v>2</v>
      </c>
      <c r="G450" s="7">
        <v>35</v>
      </c>
      <c r="H450" s="7">
        <v>70</v>
      </c>
      <c r="I450" s="1" t="str">
        <f>HYPERLINK("http://slimages.macys.com/is/image/MCY/9478106 ")</f>
        <v xml:space="preserve">http://slimages.macys.com/is/image/MCY/9478106 </v>
      </c>
    </row>
    <row r="451" spans="1:9" x14ac:dyDescent="0.2">
      <c r="A451" s="3">
        <v>11307324</v>
      </c>
      <c r="B451" s="3">
        <v>191202227910</v>
      </c>
      <c r="C451" s="5" t="s">
        <v>577</v>
      </c>
      <c r="D451" s="4" t="s">
        <v>125</v>
      </c>
      <c r="E451" s="6" t="s">
        <v>82</v>
      </c>
      <c r="F451" s="10">
        <v>1</v>
      </c>
      <c r="G451" s="7">
        <v>35</v>
      </c>
      <c r="H451" s="7">
        <v>35</v>
      </c>
      <c r="I451" s="1" t="str">
        <f>HYPERLINK("http://slimages.macys.com/is/image/MCY/9063793 ")</f>
        <v xml:space="preserve">http://slimages.macys.com/is/image/MCY/9063793 </v>
      </c>
    </row>
    <row r="452" spans="1:9" x14ac:dyDescent="0.2">
      <c r="A452" s="3">
        <v>11307324</v>
      </c>
      <c r="B452" s="3">
        <v>882256233285</v>
      </c>
      <c r="C452" s="5" t="s">
        <v>578</v>
      </c>
      <c r="D452" s="4" t="s">
        <v>125</v>
      </c>
      <c r="E452" s="6" t="s">
        <v>85</v>
      </c>
      <c r="F452" s="10">
        <v>1</v>
      </c>
      <c r="G452" s="7">
        <v>34</v>
      </c>
      <c r="H452" s="7">
        <v>34</v>
      </c>
      <c r="I452" s="1" t="str">
        <f>HYPERLINK("http://slimages.macys.com/is/image/MCY/9391077 ")</f>
        <v xml:space="preserve">http://slimages.macys.com/is/image/MCY/9391077 </v>
      </c>
    </row>
    <row r="453" spans="1:9" x14ac:dyDescent="0.2">
      <c r="A453" s="3">
        <v>11307324</v>
      </c>
      <c r="B453" s="3">
        <v>191202228412</v>
      </c>
      <c r="C453" s="5" t="s">
        <v>462</v>
      </c>
      <c r="D453" s="4" t="s">
        <v>398</v>
      </c>
      <c r="E453" s="6" t="s">
        <v>82</v>
      </c>
      <c r="F453" s="10">
        <v>1</v>
      </c>
      <c r="G453" s="7">
        <v>30</v>
      </c>
      <c r="H453" s="7">
        <v>30</v>
      </c>
      <c r="I453" s="1" t="str">
        <f>HYPERLINK("http://slimages.macys.com/is/image/MCY/9062144 ")</f>
        <v xml:space="preserve">http://slimages.macys.com/is/image/MCY/9062144 </v>
      </c>
    </row>
    <row r="454" spans="1:9" x14ac:dyDescent="0.2">
      <c r="A454" s="3">
        <v>11307324</v>
      </c>
      <c r="B454" s="3">
        <v>191202226500</v>
      </c>
      <c r="C454" s="5" t="s">
        <v>579</v>
      </c>
      <c r="D454" s="4" t="s">
        <v>175</v>
      </c>
      <c r="E454" s="6" t="s">
        <v>82</v>
      </c>
      <c r="F454" s="10">
        <v>1</v>
      </c>
      <c r="G454" s="7">
        <v>30</v>
      </c>
      <c r="H454" s="7">
        <v>30</v>
      </c>
      <c r="I454" s="1" t="str">
        <f>HYPERLINK("http://slimages.macys.com/is/image/MCY/9162410 ")</f>
        <v xml:space="preserve">http://slimages.macys.com/is/image/MCY/9162410 </v>
      </c>
    </row>
    <row r="455" spans="1:9" x14ac:dyDescent="0.2">
      <c r="A455" s="3">
        <v>11307324</v>
      </c>
      <c r="B455" s="3">
        <v>191202228290</v>
      </c>
      <c r="C455" s="5" t="s">
        <v>463</v>
      </c>
      <c r="D455" s="4" t="s">
        <v>125</v>
      </c>
      <c r="E455" s="6" t="s">
        <v>82</v>
      </c>
      <c r="F455" s="10">
        <v>1</v>
      </c>
      <c r="G455" s="7">
        <v>30</v>
      </c>
      <c r="H455" s="7">
        <v>30</v>
      </c>
      <c r="I455" s="1" t="str">
        <f>HYPERLINK("http://slimages.macys.com/is/image/MCY/9062144 ")</f>
        <v xml:space="preserve">http://slimages.macys.com/is/image/MCY/9062144 </v>
      </c>
    </row>
    <row r="456" spans="1:9" x14ac:dyDescent="0.2">
      <c r="A456" s="3">
        <v>11307324</v>
      </c>
      <c r="B456" s="3">
        <v>191202228443</v>
      </c>
      <c r="C456" s="5" t="s">
        <v>460</v>
      </c>
      <c r="D456" s="4" t="s">
        <v>454</v>
      </c>
      <c r="E456" s="6" t="s">
        <v>82</v>
      </c>
      <c r="F456" s="10">
        <v>1</v>
      </c>
      <c r="G456" s="7">
        <v>30</v>
      </c>
      <c r="H456" s="7">
        <v>30</v>
      </c>
      <c r="I456" s="1" t="str">
        <f>HYPERLINK("http://slimages.macys.com/is/image/MCY/9062144 ")</f>
        <v xml:space="preserve">http://slimages.macys.com/is/image/MCY/9062144 </v>
      </c>
    </row>
    <row r="457" spans="1:9" x14ac:dyDescent="0.2">
      <c r="A457" s="3">
        <v>11307324</v>
      </c>
      <c r="B457" s="3">
        <v>889154921528</v>
      </c>
      <c r="C457" s="5" t="s">
        <v>580</v>
      </c>
      <c r="D457" s="4" t="s">
        <v>238</v>
      </c>
      <c r="E457" s="6" t="s">
        <v>82</v>
      </c>
      <c r="F457" s="10">
        <v>2</v>
      </c>
      <c r="G457" s="7">
        <v>24</v>
      </c>
      <c r="H457" s="7">
        <v>48</v>
      </c>
      <c r="I457" s="1" t="str">
        <f>HYPERLINK("http://slimages.macys.com/is/image/MCY/3123820 ")</f>
        <v xml:space="preserve">http://slimages.macys.com/is/image/MCY/3123820 </v>
      </c>
    </row>
    <row r="458" spans="1:9" x14ac:dyDescent="0.2">
      <c r="A458" s="3">
        <v>11307324</v>
      </c>
      <c r="B458" s="3">
        <v>889154921481</v>
      </c>
      <c r="C458" s="5" t="s">
        <v>581</v>
      </c>
      <c r="D458" s="4" t="s">
        <v>238</v>
      </c>
      <c r="E458" s="6" t="s">
        <v>82</v>
      </c>
      <c r="F458" s="10">
        <v>2</v>
      </c>
      <c r="G458" s="7">
        <v>18</v>
      </c>
      <c r="H458" s="7">
        <v>36</v>
      </c>
      <c r="I458" s="1" t="str">
        <f>HYPERLINK("http://slimages.macys.com/is/image/MCY/3123817 ")</f>
        <v xml:space="preserve">http://slimages.macys.com/is/image/MCY/3123817 </v>
      </c>
    </row>
    <row r="459" spans="1:9" x14ac:dyDescent="0.2">
      <c r="A459" s="3">
        <v>11307490</v>
      </c>
      <c r="B459" s="3">
        <v>190417232481</v>
      </c>
      <c r="C459" s="5" t="s">
        <v>582</v>
      </c>
      <c r="D459" s="4" t="s">
        <v>81</v>
      </c>
      <c r="E459" s="6" t="s">
        <v>82</v>
      </c>
      <c r="F459" s="10">
        <v>1</v>
      </c>
      <c r="G459" s="7">
        <v>2450</v>
      </c>
      <c r="H459" s="7">
        <v>2450</v>
      </c>
      <c r="I459" s="1"/>
    </row>
    <row r="460" spans="1:9" x14ac:dyDescent="0.2">
      <c r="A460" s="3">
        <v>11307490</v>
      </c>
      <c r="B460" s="3">
        <v>190417268428</v>
      </c>
      <c r="C460" s="5" t="s">
        <v>583</v>
      </c>
      <c r="D460" s="4" t="s">
        <v>105</v>
      </c>
      <c r="E460" s="6" t="s">
        <v>82</v>
      </c>
      <c r="F460" s="10">
        <v>1</v>
      </c>
      <c r="G460" s="7">
        <v>2450</v>
      </c>
      <c r="H460" s="7">
        <v>2450</v>
      </c>
      <c r="I460" s="1"/>
    </row>
    <row r="461" spans="1:9" x14ac:dyDescent="0.2">
      <c r="A461" s="3">
        <v>11307490</v>
      </c>
      <c r="B461" s="3">
        <v>190417262907</v>
      </c>
      <c r="C461" s="5" t="s">
        <v>584</v>
      </c>
      <c r="D461" s="4" t="s">
        <v>94</v>
      </c>
      <c r="E461" s="6" t="s">
        <v>82</v>
      </c>
      <c r="F461" s="10">
        <v>2</v>
      </c>
      <c r="G461" s="7">
        <v>1390</v>
      </c>
      <c r="H461" s="7">
        <v>2780</v>
      </c>
      <c r="I461" s="1"/>
    </row>
    <row r="462" spans="1:9" x14ac:dyDescent="0.2">
      <c r="A462" s="3">
        <v>11307490</v>
      </c>
      <c r="B462" s="3">
        <v>190417262341</v>
      </c>
      <c r="C462" s="5" t="s">
        <v>584</v>
      </c>
      <c r="D462" s="4" t="s">
        <v>135</v>
      </c>
      <c r="E462" s="6" t="s">
        <v>82</v>
      </c>
      <c r="F462" s="10">
        <v>1</v>
      </c>
      <c r="G462" s="7">
        <v>1190</v>
      </c>
      <c r="H462" s="7">
        <v>1190</v>
      </c>
      <c r="I462" s="1"/>
    </row>
    <row r="463" spans="1:9" x14ac:dyDescent="0.2">
      <c r="A463" s="3">
        <v>11307490</v>
      </c>
      <c r="B463" s="3">
        <v>190417271244</v>
      </c>
      <c r="C463" s="5" t="s">
        <v>584</v>
      </c>
      <c r="D463" s="4" t="s">
        <v>105</v>
      </c>
      <c r="E463" s="6" t="s">
        <v>82</v>
      </c>
      <c r="F463" s="10">
        <v>3</v>
      </c>
      <c r="G463" s="7">
        <v>1190</v>
      </c>
      <c r="H463" s="7">
        <v>3570</v>
      </c>
      <c r="I463" s="1"/>
    </row>
    <row r="464" spans="1:9" x14ac:dyDescent="0.2">
      <c r="A464" s="3">
        <v>11307490</v>
      </c>
      <c r="B464" s="3">
        <v>190417168612</v>
      </c>
      <c r="C464" s="5" t="s">
        <v>585</v>
      </c>
      <c r="D464" s="4" t="s">
        <v>81</v>
      </c>
      <c r="E464" s="6" t="s">
        <v>82</v>
      </c>
      <c r="F464" s="10">
        <v>2</v>
      </c>
      <c r="G464" s="7">
        <v>1190</v>
      </c>
      <c r="H464" s="7">
        <v>2380</v>
      </c>
      <c r="I464" s="1"/>
    </row>
    <row r="465" spans="1:9" x14ac:dyDescent="0.2">
      <c r="A465" s="3">
        <v>11307490</v>
      </c>
      <c r="B465" s="3">
        <v>190417272739</v>
      </c>
      <c r="C465" s="5" t="s">
        <v>586</v>
      </c>
      <c r="D465" s="4" t="s">
        <v>81</v>
      </c>
      <c r="E465" s="6" t="s">
        <v>82</v>
      </c>
      <c r="F465" s="10">
        <v>1</v>
      </c>
      <c r="G465" s="7">
        <v>1090</v>
      </c>
      <c r="H465" s="7">
        <v>1090</v>
      </c>
      <c r="I465" s="1"/>
    </row>
    <row r="466" spans="1:9" x14ac:dyDescent="0.2">
      <c r="A466" s="3">
        <v>11307490</v>
      </c>
      <c r="B466" s="3">
        <v>190417273781</v>
      </c>
      <c r="C466" s="5" t="s">
        <v>80</v>
      </c>
      <c r="D466" s="4" t="s">
        <v>105</v>
      </c>
      <c r="E466" s="6" t="s">
        <v>82</v>
      </c>
      <c r="F466" s="10">
        <v>1</v>
      </c>
      <c r="G466" s="7">
        <v>990</v>
      </c>
      <c r="H466" s="7">
        <v>990</v>
      </c>
      <c r="I466" s="1"/>
    </row>
    <row r="467" spans="1:9" x14ac:dyDescent="0.2">
      <c r="A467" s="3">
        <v>11307490</v>
      </c>
      <c r="B467" s="3">
        <v>190417270858</v>
      </c>
      <c r="C467" s="5" t="s">
        <v>587</v>
      </c>
      <c r="D467" s="4" t="s">
        <v>105</v>
      </c>
      <c r="E467" s="6" t="s">
        <v>82</v>
      </c>
      <c r="F467" s="10">
        <v>2</v>
      </c>
      <c r="G467" s="7">
        <v>990</v>
      </c>
      <c r="H467" s="7">
        <v>1980</v>
      </c>
      <c r="I467" s="1"/>
    </row>
    <row r="468" spans="1:9" x14ac:dyDescent="0.2">
      <c r="A468" s="3">
        <v>11307490</v>
      </c>
      <c r="B468" s="3">
        <v>190417268190</v>
      </c>
      <c r="C468" s="5" t="s">
        <v>587</v>
      </c>
      <c r="D468" s="4" t="s">
        <v>81</v>
      </c>
      <c r="E468" s="6" t="s">
        <v>82</v>
      </c>
      <c r="F468" s="10">
        <v>2</v>
      </c>
      <c r="G468" s="7">
        <v>990</v>
      </c>
      <c r="H468" s="7">
        <v>1980</v>
      </c>
      <c r="I468" s="1"/>
    </row>
    <row r="469" spans="1:9" x14ac:dyDescent="0.2">
      <c r="A469" s="3">
        <v>11307490</v>
      </c>
      <c r="B469" s="3">
        <v>190417264000</v>
      </c>
      <c r="C469" s="5" t="s">
        <v>588</v>
      </c>
      <c r="D469" s="4" t="s">
        <v>105</v>
      </c>
      <c r="E469" s="6" t="s">
        <v>82</v>
      </c>
      <c r="F469" s="10">
        <v>2</v>
      </c>
      <c r="G469" s="7">
        <v>890</v>
      </c>
      <c r="H469" s="7">
        <v>1780</v>
      </c>
      <c r="I469" s="1"/>
    </row>
    <row r="470" spans="1:9" x14ac:dyDescent="0.2">
      <c r="A470" s="3">
        <v>11307490</v>
      </c>
      <c r="B470" s="3">
        <v>190417268008</v>
      </c>
      <c r="C470" s="5" t="s">
        <v>589</v>
      </c>
      <c r="D470" s="4" t="s">
        <v>89</v>
      </c>
      <c r="E470" s="6" t="s">
        <v>82</v>
      </c>
      <c r="F470" s="10">
        <v>2</v>
      </c>
      <c r="G470" s="7">
        <v>795</v>
      </c>
      <c r="H470" s="7">
        <v>1590</v>
      </c>
      <c r="I470" s="1"/>
    </row>
    <row r="471" spans="1:9" x14ac:dyDescent="0.2">
      <c r="A471" s="3">
        <v>11307490</v>
      </c>
      <c r="B471" s="3">
        <v>190417273804</v>
      </c>
      <c r="C471" s="5" t="s">
        <v>589</v>
      </c>
      <c r="D471" s="4" t="s">
        <v>105</v>
      </c>
      <c r="E471" s="6" t="s">
        <v>82</v>
      </c>
      <c r="F471" s="10">
        <v>1</v>
      </c>
      <c r="G471" s="7">
        <v>795</v>
      </c>
      <c r="H471" s="7">
        <v>795</v>
      </c>
      <c r="I471" s="1"/>
    </row>
    <row r="472" spans="1:9" x14ac:dyDescent="0.2">
      <c r="A472" s="3">
        <v>11307490</v>
      </c>
      <c r="B472" s="3">
        <v>191267425283</v>
      </c>
      <c r="C472" s="5" t="s">
        <v>304</v>
      </c>
      <c r="D472" s="4" t="s">
        <v>279</v>
      </c>
      <c r="E472" s="6" t="s">
        <v>85</v>
      </c>
      <c r="F472" s="10">
        <v>1</v>
      </c>
      <c r="G472" s="7">
        <v>325</v>
      </c>
      <c r="H472" s="7">
        <v>325</v>
      </c>
      <c r="I472" s="1" t="str">
        <f>HYPERLINK("http://images.bloomingdales.com/is/image/BLM/9829070 ")</f>
        <v xml:space="preserve">http://images.bloomingdales.com/is/image/BLM/9829070 </v>
      </c>
    </row>
    <row r="473" spans="1:9" x14ac:dyDescent="0.2">
      <c r="A473" s="3">
        <v>11307490</v>
      </c>
      <c r="B473" s="3">
        <v>191935684097</v>
      </c>
      <c r="C473" s="5" t="s">
        <v>102</v>
      </c>
      <c r="D473" s="4" t="s">
        <v>103</v>
      </c>
      <c r="E473" s="6" t="s">
        <v>82</v>
      </c>
      <c r="F473" s="10">
        <v>1</v>
      </c>
      <c r="G473" s="7">
        <v>298</v>
      </c>
      <c r="H473" s="7">
        <v>298</v>
      </c>
      <c r="I473" s="1" t="str">
        <f>HYPERLINK("http://slimages.macys.com/is/image/MCY/9295575 ")</f>
        <v xml:space="preserve">http://slimages.macys.com/is/image/MCY/9295575 </v>
      </c>
    </row>
    <row r="474" spans="1:9" x14ac:dyDescent="0.2">
      <c r="A474" s="3">
        <v>11307490</v>
      </c>
      <c r="B474" s="3">
        <v>192317348071</v>
      </c>
      <c r="C474" s="5" t="s">
        <v>590</v>
      </c>
      <c r="D474" s="4" t="s">
        <v>353</v>
      </c>
      <c r="E474" s="6" t="s">
        <v>82</v>
      </c>
      <c r="F474" s="10">
        <v>1</v>
      </c>
      <c r="G474" s="7">
        <v>298</v>
      </c>
      <c r="H474" s="7">
        <v>298</v>
      </c>
      <c r="I474" s="1" t="str">
        <f>HYPERLINK("http://slimages.macys.com/is/image/MCY/9669211 ")</f>
        <v xml:space="preserve">http://slimages.macys.com/is/image/MCY/9669211 </v>
      </c>
    </row>
    <row r="475" spans="1:9" x14ac:dyDescent="0.2">
      <c r="A475" s="3">
        <v>11307490</v>
      </c>
      <c r="B475" s="3">
        <v>889532677788</v>
      </c>
      <c r="C475" s="5" t="s">
        <v>591</v>
      </c>
      <c r="D475" s="4" t="s">
        <v>81</v>
      </c>
      <c r="E475" s="6" t="s">
        <v>82</v>
      </c>
      <c r="F475" s="10">
        <v>1</v>
      </c>
      <c r="G475" s="7">
        <v>295</v>
      </c>
      <c r="H475" s="7">
        <v>295</v>
      </c>
      <c r="I475" s="1" t="str">
        <f>HYPERLINK("http://images.bloomingdales.com/is/image/BLM/9918248 ")</f>
        <v xml:space="preserve">http://images.bloomingdales.com/is/image/BLM/9918248 </v>
      </c>
    </row>
    <row r="476" spans="1:9" x14ac:dyDescent="0.2">
      <c r="A476" s="3">
        <v>11307490</v>
      </c>
      <c r="B476" s="3">
        <v>191202236196</v>
      </c>
      <c r="C476" s="5" t="s">
        <v>592</v>
      </c>
      <c r="D476" s="4" t="s">
        <v>166</v>
      </c>
      <c r="E476" s="6" t="s">
        <v>82</v>
      </c>
      <c r="F476" s="10">
        <v>1</v>
      </c>
      <c r="G476" s="7">
        <v>295</v>
      </c>
      <c r="H476" s="7">
        <v>295</v>
      </c>
      <c r="I476" s="1" t="str">
        <f>HYPERLINK("http://slimages.macys.com/is/image/MCY/9003008 ")</f>
        <v xml:space="preserve">http://slimages.macys.com/is/image/MCY/9003008 </v>
      </c>
    </row>
    <row r="477" spans="1:9" x14ac:dyDescent="0.2">
      <c r="A477" s="3">
        <v>11307490</v>
      </c>
      <c r="B477" s="3">
        <v>5025546384556</v>
      </c>
      <c r="C477" s="5" t="s">
        <v>309</v>
      </c>
      <c r="D477" s="4" t="s">
        <v>81</v>
      </c>
      <c r="E477" s="6" t="s">
        <v>118</v>
      </c>
      <c r="F477" s="10">
        <v>1</v>
      </c>
      <c r="G477" s="7">
        <v>295</v>
      </c>
      <c r="H477" s="7">
        <v>295</v>
      </c>
      <c r="I477" s="1" t="str">
        <f>HYPERLINK("http://slimages.macys.com/is/image/MCY/9045847 ")</f>
        <v xml:space="preserve">http://slimages.macys.com/is/image/MCY/9045847 </v>
      </c>
    </row>
    <row r="478" spans="1:9" x14ac:dyDescent="0.2">
      <c r="A478" s="3">
        <v>11307490</v>
      </c>
      <c r="B478" s="3">
        <v>5025546385232</v>
      </c>
      <c r="C478" s="5" t="s">
        <v>593</v>
      </c>
      <c r="D478" s="4" t="s">
        <v>87</v>
      </c>
      <c r="E478" s="6" t="s">
        <v>132</v>
      </c>
      <c r="F478" s="10">
        <v>1</v>
      </c>
      <c r="G478" s="7">
        <v>295</v>
      </c>
      <c r="H478" s="7">
        <v>295</v>
      </c>
      <c r="I478" s="1"/>
    </row>
    <row r="479" spans="1:9" x14ac:dyDescent="0.2">
      <c r="A479" s="3">
        <v>11307490</v>
      </c>
      <c r="B479" s="3">
        <v>98687025102</v>
      </c>
      <c r="C479" s="5" t="s">
        <v>594</v>
      </c>
      <c r="D479" s="4" t="s">
        <v>107</v>
      </c>
      <c r="E479" s="6" t="s">
        <v>85</v>
      </c>
      <c r="F479" s="10">
        <v>1</v>
      </c>
      <c r="G479" s="7">
        <v>278</v>
      </c>
      <c r="H479" s="7">
        <v>278</v>
      </c>
      <c r="I479" s="1" t="str">
        <f>HYPERLINK("http://images.bloomingdales.com/is/image/BLM/9382894 ")</f>
        <v xml:space="preserve">http://images.bloomingdales.com/is/image/BLM/9382894 </v>
      </c>
    </row>
    <row r="480" spans="1:9" x14ac:dyDescent="0.2">
      <c r="A480" s="3">
        <v>11307490</v>
      </c>
      <c r="B480" s="3">
        <v>5025546367320</v>
      </c>
      <c r="C480" s="5" t="s">
        <v>595</v>
      </c>
      <c r="D480" s="4" t="s">
        <v>81</v>
      </c>
      <c r="E480" s="6" t="s">
        <v>132</v>
      </c>
      <c r="F480" s="10">
        <v>1</v>
      </c>
      <c r="G480" s="7">
        <v>275</v>
      </c>
      <c r="H480" s="7">
        <v>275</v>
      </c>
      <c r="I480" s="1" t="str">
        <f>HYPERLINK("http://slimages.macys.com/is/image/MCY/8924254 ")</f>
        <v xml:space="preserve">http://slimages.macys.com/is/image/MCY/8924254 </v>
      </c>
    </row>
    <row r="481" spans="1:9" x14ac:dyDescent="0.2">
      <c r="A481" s="3">
        <v>11307490</v>
      </c>
      <c r="B481" s="3">
        <v>191935082923</v>
      </c>
      <c r="C481" s="5" t="s">
        <v>485</v>
      </c>
      <c r="D481" s="4" t="s">
        <v>81</v>
      </c>
      <c r="E481" s="6" t="s">
        <v>82</v>
      </c>
      <c r="F481" s="10">
        <v>1</v>
      </c>
      <c r="G481" s="7">
        <v>268</v>
      </c>
      <c r="H481" s="7">
        <v>268</v>
      </c>
      <c r="I481" s="1" t="str">
        <f>HYPERLINK("http://slimages.macys.com/is/image/MCY/9099478 ")</f>
        <v xml:space="preserve">http://slimages.macys.com/is/image/MCY/9099478 </v>
      </c>
    </row>
    <row r="482" spans="1:9" x14ac:dyDescent="0.2">
      <c r="A482" s="3">
        <v>11307490</v>
      </c>
      <c r="B482" s="3">
        <v>723764558357</v>
      </c>
      <c r="C482" s="5" t="s">
        <v>596</v>
      </c>
      <c r="D482" s="4" t="s">
        <v>109</v>
      </c>
      <c r="E482" s="6" t="s">
        <v>82</v>
      </c>
      <c r="F482" s="10">
        <v>1</v>
      </c>
      <c r="G482" s="7">
        <v>258</v>
      </c>
      <c r="H482" s="7">
        <v>258</v>
      </c>
      <c r="I482" s="1" t="str">
        <f>HYPERLINK("http://slimages.macys.com/is/image/MCY/9212597 ")</f>
        <v xml:space="preserve">http://slimages.macys.com/is/image/MCY/9212597 </v>
      </c>
    </row>
    <row r="483" spans="1:9" x14ac:dyDescent="0.2">
      <c r="A483" s="3">
        <v>11307490</v>
      </c>
      <c r="B483" s="3">
        <v>191202480032</v>
      </c>
      <c r="C483" s="5" t="s">
        <v>597</v>
      </c>
      <c r="D483" s="4" t="s">
        <v>98</v>
      </c>
      <c r="E483" s="6" t="s">
        <v>82</v>
      </c>
      <c r="F483" s="10">
        <v>1</v>
      </c>
      <c r="G483" s="7">
        <v>250</v>
      </c>
      <c r="H483" s="7">
        <v>250</v>
      </c>
      <c r="I483" s="1" t="str">
        <f>HYPERLINK("http://slimages.macys.com/is/image/MCY/9526629 ")</f>
        <v xml:space="preserve">http://slimages.macys.com/is/image/MCY/9526629 </v>
      </c>
    </row>
    <row r="484" spans="1:9" x14ac:dyDescent="0.2">
      <c r="A484" s="3">
        <v>11307490</v>
      </c>
      <c r="B484" s="3">
        <v>191202167384</v>
      </c>
      <c r="C484" s="5" t="s">
        <v>598</v>
      </c>
      <c r="D484" s="4"/>
      <c r="E484" s="6" t="s">
        <v>82</v>
      </c>
      <c r="F484" s="10">
        <v>1</v>
      </c>
      <c r="G484" s="7">
        <v>250</v>
      </c>
      <c r="H484" s="7">
        <v>250</v>
      </c>
      <c r="I484" s="1"/>
    </row>
    <row r="485" spans="1:9" x14ac:dyDescent="0.2">
      <c r="A485" s="3">
        <v>11307490</v>
      </c>
      <c r="B485" s="3">
        <v>190864481838</v>
      </c>
      <c r="C485" s="5" t="s">
        <v>599</v>
      </c>
      <c r="D485" s="4" t="s">
        <v>148</v>
      </c>
      <c r="E485" s="6" t="s">
        <v>82</v>
      </c>
      <c r="F485" s="10">
        <v>1</v>
      </c>
      <c r="G485" s="7">
        <v>248</v>
      </c>
      <c r="H485" s="7">
        <v>248</v>
      </c>
      <c r="I485" s="1" t="str">
        <f>HYPERLINK("http://slimages.macys.com/is/image/MCY/10000092 ")</f>
        <v xml:space="preserve">http://slimages.macys.com/is/image/MCY/10000092 </v>
      </c>
    </row>
    <row r="486" spans="1:9" x14ac:dyDescent="0.2">
      <c r="A486" s="3">
        <v>11307490</v>
      </c>
      <c r="B486" s="3">
        <v>802892719370</v>
      </c>
      <c r="C486" s="5" t="s">
        <v>127</v>
      </c>
      <c r="D486" s="4" t="s">
        <v>100</v>
      </c>
      <c r="E486" s="6" t="s">
        <v>85</v>
      </c>
      <c r="F486" s="10">
        <v>1</v>
      </c>
      <c r="G486" s="7">
        <v>248</v>
      </c>
      <c r="H486" s="7">
        <v>248</v>
      </c>
      <c r="I486" s="1" t="str">
        <f>HYPERLINK("http://slimages.macys.com/is/image/MCY/9345786 ")</f>
        <v xml:space="preserve">http://slimages.macys.com/is/image/MCY/9345786 </v>
      </c>
    </row>
    <row r="487" spans="1:9" x14ac:dyDescent="0.2">
      <c r="A487" s="3">
        <v>11307490</v>
      </c>
      <c r="B487" s="3">
        <v>492031366659</v>
      </c>
      <c r="C487" s="5" t="s">
        <v>600</v>
      </c>
      <c r="D487" s="4" t="s">
        <v>81</v>
      </c>
      <c r="E487" s="6" t="s">
        <v>82</v>
      </c>
      <c r="F487" s="10">
        <v>1</v>
      </c>
      <c r="G487" s="7">
        <v>245</v>
      </c>
      <c r="H487" s="7">
        <v>245</v>
      </c>
      <c r="I487" s="1" t="str">
        <f>HYPERLINK("http://images.bloomingdales.com/is/image/BLM/9575331 ")</f>
        <v xml:space="preserve">http://images.bloomingdales.com/is/image/BLM/9575331 </v>
      </c>
    </row>
    <row r="488" spans="1:9" x14ac:dyDescent="0.2">
      <c r="A488" s="3">
        <v>11307490</v>
      </c>
      <c r="B488" s="3">
        <v>492031366666</v>
      </c>
      <c r="C488" s="5" t="s">
        <v>600</v>
      </c>
      <c r="D488" s="4" t="s">
        <v>115</v>
      </c>
      <c r="E488" s="6" t="s">
        <v>82</v>
      </c>
      <c r="F488" s="10">
        <v>1</v>
      </c>
      <c r="G488" s="7">
        <v>245</v>
      </c>
      <c r="H488" s="7">
        <v>245</v>
      </c>
      <c r="I488" s="1" t="str">
        <f>HYPERLINK("http://images.bloomingdales.com/is/image/BLM/9575332 ")</f>
        <v xml:space="preserve">http://images.bloomingdales.com/is/image/BLM/9575332 </v>
      </c>
    </row>
    <row r="489" spans="1:9" x14ac:dyDescent="0.2">
      <c r="A489" s="3">
        <v>11307490</v>
      </c>
      <c r="B489" s="3">
        <v>191935103710</v>
      </c>
      <c r="C489" s="5" t="s">
        <v>601</v>
      </c>
      <c r="D489" s="4" t="s">
        <v>81</v>
      </c>
      <c r="E489" s="6" t="s">
        <v>82</v>
      </c>
      <c r="F489" s="10">
        <v>1</v>
      </c>
      <c r="G489" s="7">
        <v>228</v>
      </c>
      <c r="H489" s="7">
        <v>228</v>
      </c>
      <c r="I489" s="1" t="str">
        <f>HYPERLINK("http://slimages.macys.com/is/image/MCY/9109157 ")</f>
        <v xml:space="preserve">http://slimages.macys.com/is/image/MCY/9109157 </v>
      </c>
    </row>
    <row r="490" spans="1:9" x14ac:dyDescent="0.2">
      <c r="A490" s="3">
        <v>11307490</v>
      </c>
      <c r="B490" s="3">
        <v>191935680778</v>
      </c>
      <c r="C490" s="5" t="s">
        <v>602</v>
      </c>
      <c r="D490" s="4" t="s">
        <v>135</v>
      </c>
      <c r="E490" s="6" t="s">
        <v>82</v>
      </c>
      <c r="F490" s="10">
        <v>1</v>
      </c>
      <c r="G490" s="7">
        <v>198</v>
      </c>
      <c r="H490" s="7">
        <v>198</v>
      </c>
      <c r="I490" s="1" t="str">
        <f>HYPERLINK("http://slimages.macys.com/is/image/MCY/9366856 ")</f>
        <v xml:space="preserve">http://slimages.macys.com/is/image/MCY/9366856 </v>
      </c>
    </row>
    <row r="491" spans="1:9" x14ac:dyDescent="0.2">
      <c r="A491" s="3">
        <v>11307490</v>
      </c>
      <c r="B491" s="3">
        <v>802892851247</v>
      </c>
      <c r="C491" s="5" t="s">
        <v>603</v>
      </c>
      <c r="D491" s="4" t="s">
        <v>81</v>
      </c>
      <c r="E491" s="6" t="s">
        <v>85</v>
      </c>
      <c r="F491" s="10">
        <v>1</v>
      </c>
      <c r="G491" s="7">
        <v>198</v>
      </c>
      <c r="H491" s="7">
        <v>198</v>
      </c>
      <c r="I491" s="1" t="str">
        <f>HYPERLINK("http://slimages.macys.com/is/image/MCY/8890451 ")</f>
        <v xml:space="preserve">http://slimages.macys.com/is/image/MCY/8890451 </v>
      </c>
    </row>
    <row r="492" spans="1:9" x14ac:dyDescent="0.2">
      <c r="A492" s="3">
        <v>11307490</v>
      </c>
      <c r="B492" s="3">
        <v>5025546385164</v>
      </c>
      <c r="C492" s="5" t="s">
        <v>503</v>
      </c>
      <c r="D492" s="4" t="s">
        <v>94</v>
      </c>
      <c r="E492" s="6" t="s">
        <v>143</v>
      </c>
      <c r="F492" s="10">
        <v>1</v>
      </c>
      <c r="G492" s="7">
        <v>195</v>
      </c>
      <c r="H492" s="7">
        <v>195</v>
      </c>
      <c r="I492" s="1" t="str">
        <f>HYPERLINK("http://slimages.macys.com/is/image/MCY/9351149 ")</f>
        <v xml:space="preserve">http://slimages.macys.com/is/image/MCY/9351149 </v>
      </c>
    </row>
    <row r="493" spans="1:9" x14ac:dyDescent="0.2">
      <c r="A493" s="3">
        <v>11307490</v>
      </c>
      <c r="B493" s="3">
        <v>191935096791</v>
      </c>
      <c r="C493" s="5" t="s">
        <v>604</v>
      </c>
      <c r="D493" s="4" t="s">
        <v>353</v>
      </c>
      <c r="E493" s="6" t="s">
        <v>82</v>
      </c>
      <c r="F493" s="10">
        <v>1</v>
      </c>
      <c r="G493" s="7">
        <v>188</v>
      </c>
      <c r="H493" s="7">
        <v>188</v>
      </c>
      <c r="I493" s="1" t="str">
        <f>HYPERLINK("http://images.bloomingdales.com/is/image/BLM/9653719 ")</f>
        <v xml:space="preserve">http://images.bloomingdales.com/is/image/BLM/9653719 </v>
      </c>
    </row>
    <row r="494" spans="1:9" x14ac:dyDescent="0.2">
      <c r="A494" s="3">
        <v>11307490</v>
      </c>
      <c r="B494" s="3">
        <v>191797497002</v>
      </c>
      <c r="C494" s="5" t="s">
        <v>150</v>
      </c>
      <c r="D494" s="4" t="s">
        <v>89</v>
      </c>
      <c r="E494" s="6" t="s">
        <v>85</v>
      </c>
      <c r="F494" s="10">
        <v>1</v>
      </c>
      <c r="G494" s="7">
        <v>178</v>
      </c>
      <c r="H494" s="7">
        <v>178</v>
      </c>
      <c r="I494" s="1" t="str">
        <f>HYPERLINK("http://slimages.macys.com/is/image/MCY/9388751 ")</f>
        <v xml:space="preserve">http://slimages.macys.com/is/image/MCY/9388751 </v>
      </c>
    </row>
    <row r="495" spans="1:9" x14ac:dyDescent="0.2">
      <c r="A495" s="3">
        <v>11307490</v>
      </c>
      <c r="B495" s="3">
        <v>190864500966</v>
      </c>
      <c r="C495" s="5" t="s">
        <v>605</v>
      </c>
      <c r="D495" s="4" t="s">
        <v>148</v>
      </c>
      <c r="E495" s="6" t="s">
        <v>82</v>
      </c>
      <c r="F495" s="10">
        <v>1</v>
      </c>
      <c r="G495" s="7">
        <v>168</v>
      </c>
      <c r="H495" s="7">
        <v>168</v>
      </c>
      <c r="I495" s="1" t="str">
        <f>HYPERLINK("http://slimages.macys.com/is/image/MCY/8468006 ")</f>
        <v xml:space="preserve">http://slimages.macys.com/is/image/MCY/8468006 </v>
      </c>
    </row>
    <row r="496" spans="1:9" x14ac:dyDescent="0.2">
      <c r="A496" s="3">
        <v>11307490</v>
      </c>
      <c r="B496" s="3">
        <v>802892702105</v>
      </c>
      <c r="C496" s="5" t="s">
        <v>606</v>
      </c>
      <c r="D496" s="4" t="s">
        <v>100</v>
      </c>
      <c r="E496" s="6" t="s">
        <v>85</v>
      </c>
      <c r="F496" s="10">
        <v>1</v>
      </c>
      <c r="G496" s="7">
        <v>168</v>
      </c>
      <c r="H496" s="7">
        <v>168</v>
      </c>
      <c r="I496" s="1" t="str">
        <f>HYPERLINK("http://slimages.macys.com/is/image/MCY/9592064 ")</f>
        <v xml:space="preserve">http://slimages.macys.com/is/image/MCY/9592064 </v>
      </c>
    </row>
    <row r="497" spans="1:9" x14ac:dyDescent="0.2">
      <c r="A497" s="3">
        <v>11307490</v>
      </c>
      <c r="B497" s="3">
        <v>889816824402</v>
      </c>
      <c r="C497" s="5" t="s">
        <v>607</v>
      </c>
      <c r="D497" s="4" t="s">
        <v>109</v>
      </c>
      <c r="E497" s="6" t="s">
        <v>85</v>
      </c>
      <c r="F497" s="10">
        <v>1</v>
      </c>
      <c r="G497" s="7">
        <v>148</v>
      </c>
      <c r="H497" s="7">
        <v>148</v>
      </c>
      <c r="I497" s="1" t="str">
        <f>HYPERLINK("http://slimages.macys.com/is/image/MCY/8264564 ")</f>
        <v xml:space="preserve">http://slimages.macys.com/is/image/MCY/8264564 </v>
      </c>
    </row>
    <row r="498" spans="1:9" x14ac:dyDescent="0.2">
      <c r="A498" s="3">
        <v>11307490</v>
      </c>
      <c r="B498" s="3">
        <v>191935080172</v>
      </c>
      <c r="C498" s="5" t="s">
        <v>608</v>
      </c>
      <c r="D498" s="4" t="s">
        <v>100</v>
      </c>
      <c r="E498" s="6" t="s">
        <v>82</v>
      </c>
      <c r="F498" s="10">
        <v>2</v>
      </c>
      <c r="G498" s="7">
        <v>148</v>
      </c>
      <c r="H498" s="7">
        <v>296</v>
      </c>
      <c r="I498" s="1" t="str">
        <f>HYPERLINK("http://slimages.macys.com/is/image/MCY/9150431 ")</f>
        <v xml:space="preserve">http://slimages.macys.com/is/image/MCY/9150431 </v>
      </c>
    </row>
    <row r="499" spans="1:9" x14ac:dyDescent="0.2">
      <c r="A499" s="3">
        <v>11307490</v>
      </c>
      <c r="B499" s="3">
        <v>191202668645</v>
      </c>
      <c r="C499" s="5" t="s">
        <v>609</v>
      </c>
      <c r="D499" s="4" t="s">
        <v>158</v>
      </c>
      <c r="E499" s="6" t="s">
        <v>82</v>
      </c>
      <c r="F499" s="10">
        <v>1</v>
      </c>
      <c r="G499" s="7">
        <v>145</v>
      </c>
      <c r="H499" s="7">
        <v>145</v>
      </c>
      <c r="I499" s="1" t="str">
        <f>HYPERLINK("http://slimages.macys.com/is/image/MCY/9500219 ")</f>
        <v xml:space="preserve">http://slimages.macys.com/is/image/MCY/9500219 </v>
      </c>
    </row>
    <row r="500" spans="1:9" x14ac:dyDescent="0.2">
      <c r="A500" s="3">
        <v>11307490</v>
      </c>
      <c r="B500" s="3">
        <v>711640587805</v>
      </c>
      <c r="C500" s="5" t="s">
        <v>610</v>
      </c>
      <c r="D500" s="4" t="s">
        <v>611</v>
      </c>
      <c r="E500" s="6" t="s">
        <v>82</v>
      </c>
      <c r="F500" s="10">
        <v>1</v>
      </c>
      <c r="G500" s="7">
        <v>141.75</v>
      </c>
      <c r="H500" s="7">
        <v>141.75</v>
      </c>
      <c r="I500" s="1" t="str">
        <f>HYPERLINK("http://slimages.macys.com/is/image/MCY/9432943 ")</f>
        <v xml:space="preserve">http://slimages.macys.com/is/image/MCY/9432943 </v>
      </c>
    </row>
    <row r="501" spans="1:9" x14ac:dyDescent="0.2">
      <c r="A501" s="3">
        <v>11307490</v>
      </c>
      <c r="B501" s="3">
        <v>492031130854</v>
      </c>
      <c r="C501" s="5" t="s">
        <v>612</v>
      </c>
      <c r="D501" s="4" t="s">
        <v>81</v>
      </c>
      <c r="E501" s="6" t="s">
        <v>82</v>
      </c>
      <c r="F501" s="10">
        <v>1</v>
      </c>
      <c r="G501" s="7">
        <v>140</v>
      </c>
      <c r="H501" s="7">
        <v>140</v>
      </c>
      <c r="I501" s="1" t="str">
        <f>HYPERLINK("http://images.bloomingdales.com/is/image/BLM/9408091 ")</f>
        <v xml:space="preserve">http://images.bloomingdales.com/is/image/BLM/9408091 </v>
      </c>
    </row>
    <row r="502" spans="1:9" x14ac:dyDescent="0.2">
      <c r="A502" s="3">
        <v>11307490</v>
      </c>
      <c r="B502" s="3">
        <v>191202468856</v>
      </c>
      <c r="C502" s="5" t="s">
        <v>613</v>
      </c>
      <c r="D502" s="4" t="s">
        <v>419</v>
      </c>
      <c r="E502" s="6" t="s">
        <v>173</v>
      </c>
      <c r="F502" s="10">
        <v>1</v>
      </c>
      <c r="G502" s="7">
        <v>135</v>
      </c>
      <c r="H502" s="7">
        <v>135</v>
      </c>
      <c r="I502" s="1" t="str">
        <f>HYPERLINK("http://slimages.macys.com/is/image/MCY/9509555 ")</f>
        <v xml:space="preserve">http://slimages.macys.com/is/image/MCY/9509555 </v>
      </c>
    </row>
    <row r="503" spans="1:9" x14ac:dyDescent="0.2">
      <c r="A503" s="3">
        <v>11307490</v>
      </c>
      <c r="B503" s="3">
        <v>887986104263</v>
      </c>
      <c r="C503" s="5" t="s">
        <v>614</v>
      </c>
      <c r="D503" s="4" t="s">
        <v>98</v>
      </c>
      <c r="E503" s="6" t="s">
        <v>85</v>
      </c>
      <c r="F503" s="10">
        <v>1</v>
      </c>
      <c r="G503" s="7">
        <v>129</v>
      </c>
      <c r="H503" s="7">
        <v>129</v>
      </c>
      <c r="I503" s="1" t="str">
        <f>HYPERLINK("http://slimages.macys.com/is/image/MCY/9396067 ")</f>
        <v xml:space="preserve">http://slimages.macys.com/is/image/MCY/9396067 </v>
      </c>
    </row>
    <row r="504" spans="1:9" x14ac:dyDescent="0.2">
      <c r="A504" s="3">
        <v>11307490</v>
      </c>
      <c r="B504" s="3">
        <v>191935684486</v>
      </c>
      <c r="C504" s="5" t="s">
        <v>615</v>
      </c>
      <c r="D504" s="4" t="s">
        <v>155</v>
      </c>
      <c r="E504" s="6" t="s">
        <v>82</v>
      </c>
      <c r="F504" s="10">
        <v>1</v>
      </c>
      <c r="G504" s="7">
        <v>128</v>
      </c>
      <c r="H504" s="7">
        <v>128</v>
      </c>
      <c r="I504" s="1" t="str">
        <f>HYPERLINK("http://slimages.macys.com/is/image/MCY/9309114 ")</f>
        <v xml:space="preserve">http://slimages.macys.com/is/image/MCY/9309114 </v>
      </c>
    </row>
    <row r="505" spans="1:9" x14ac:dyDescent="0.2">
      <c r="A505" s="3">
        <v>11307490</v>
      </c>
      <c r="B505" s="3">
        <v>190049494738</v>
      </c>
      <c r="C505" s="5" t="s">
        <v>616</v>
      </c>
      <c r="D505" s="4" t="s">
        <v>100</v>
      </c>
      <c r="E505" s="6" t="s">
        <v>82</v>
      </c>
      <c r="F505" s="10">
        <v>1</v>
      </c>
      <c r="G505" s="7">
        <v>128</v>
      </c>
      <c r="H505" s="7">
        <v>128</v>
      </c>
      <c r="I505" s="1" t="str">
        <f>HYPERLINK("http://slimages.macys.com/is/image/MCY/3523332 ")</f>
        <v xml:space="preserve">http://slimages.macys.com/is/image/MCY/3523332 </v>
      </c>
    </row>
    <row r="506" spans="1:9" x14ac:dyDescent="0.2">
      <c r="A506" s="3">
        <v>11307490</v>
      </c>
      <c r="B506" s="3">
        <v>190231110521</v>
      </c>
      <c r="C506" s="5" t="s">
        <v>617</v>
      </c>
      <c r="D506" s="4"/>
      <c r="E506" s="6" t="s">
        <v>85</v>
      </c>
      <c r="F506" s="10">
        <v>1</v>
      </c>
      <c r="G506" s="7">
        <v>128</v>
      </c>
      <c r="H506" s="7">
        <v>128</v>
      </c>
      <c r="I506" s="1" t="str">
        <f>HYPERLINK("http://slimages.macys.com/is/image/MCY/8967007 ")</f>
        <v xml:space="preserve">http://slimages.macys.com/is/image/MCY/8967007 </v>
      </c>
    </row>
    <row r="507" spans="1:9" x14ac:dyDescent="0.2">
      <c r="A507" s="3">
        <v>11307490</v>
      </c>
      <c r="B507" s="3">
        <v>887986108056</v>
      </c>
      <c r="C507" s="5" t="s">
        <v>526</v>
      </c>
      <c r="D507" s="4" t="s">
        <v>81</v>
      </c>
      <c r="E507" s="6" t="s">
        <v>85</v>
      </c>
      <c r="F507" s="10">
        <v>1</v>
      </c>
      <c r="G507" s="7">
        <v>119</v>
      </c>
      <c r="H507" s="7">
        <v>119</v>
      </c>
      <c r="I507" s="1" t="str">
        <f>HYPERLINK("http://slimages.macys.com/is/image/MCY/9270988 ")</f>
        <v xml:space="preserve">http://slimages.macys.com/is/image/MCY/9270988 </v>
      </c>
    </row>
    <row r="508" spans="1:9" x14ac:dyDescent="0.2">
      <c r="A508" s="3">
        <v>11307490</v>
      </c>
      <c r="B508" s="3">
        <v>885935947091</v>
      </c>
      <c r="C508" s="5" t="s">
        <v>618</v>
      </c>
      <c r="D508" s="4" t="s">
        <v>81</v>
      </c>
      <c r="E508" s="6" t="s">
        <v>85</v>
      </c>
      <c r="F508" s="10">
        <v>1</v>
      </c>
      <c r="G508" s="7">
        <v>110</v>
      </c>
      <c r="H508" s="7">
        <v>110</v>
      </c>
      <c r="I508" s="1" t="str">
        <f>HYPERLINK("http://slimages.macys.com/is/image/MCY/3780395 ")</f>
        <v xml:space="preserve">http://slimages.macys.com/is/image/MCY/3780395 </v>
      </c>
    </row>
    <row r="509" spans="1:9" x14ac:dyDescent="0.2">
      <c r="A509" s="3">
        <v>11307490</v>
      </c>
      <c r="B509" s="3">
        <v>888188376991</v>
      </c>
      <c r="C509" s="5" t="s">
        <v>619</v>
      </c>
      <c r="D509" s="4" t="s">
        <v>238</v>
      </c>
      <c r="E509" s="6" t="s">
        <v>85</v>
      </c>
      <c r="F509" s="10">
        <v>1</v>
      </c>
      <c r="G509" s="7">
        <v>108</v>
      </c>
      <c r="H509" s="7">
        <v>108</v>
      </c>
      <c r="I509" s="1" t="str">
        <f>HYPERLINK("http://slimages.macys.com/is/image/MCY/9073532 ")</f>
        <v xml:space="preserve">http://slimages.macys.com/is/image/MCY/9073532 </v>
      </c>
    </row>
    <row r="510" spans="1:9" x14ac:dyDescent="0.2">
      <c r="A510" s="3">
        <v>11307490</v>
      </c>
      <c r="B510" s="3">
        <v>5025546386987</v>
      </c>
      <c r="C510" s="5" t="s">
        <v>183</v>
      </c>
      <c r="D510" s="4" t="s">
        <v>184</v>
      </c>
      <c r="E510" s="6" t="s">
        <v>185</v>
      </c>
      <c r="F510" s="10">
        <v>1</v>
      </c>
      <c r="G510" s="7">
        <v>105</v>
      </c>
      <c r="H510" s="7">
        <v>105</v>
      </c>
      <c r="I510" s="1" t="str">
        <f>HYPERLINK("http://slimages.macys.com/is/image/MCY/9347241 ")</f>
        <v xml:space="preserve">http://slimages.macys.com/is/image/MCY/9347241 </v>
      </c>
    </row>
    <row r="511" spans="1:9" x14ac:dyDescent="0.2">
      <c r="A511" s="3">
        <v>11307490</v>
      </c>
      <c r="B511" s="3">
        <v>5025546386970</v>
      </c>
      <c r="C511" s="5" t="s">
        <v>620</v>
      </c>
      <c r="D511" s="4" t="s">
        <v>117</v>
      </c>
      <c r="E511" s="6" t="s">
        <v>185</v>
      </c>
      <c r="F511" s="10">
        <v>1</v>
      </c>
      <c r="G511" s="7">
        <v>105</v>
      </c>
      <c r="H511" s="7">
        <v>105</v>
      </c>
      <c r="I511" s="1" t="str">
        <f>HYPERLINK("http://slimages.macys.com/is/image/MCY/9347241 ")</f>
        <v xml:space="preserve">http://slimages.macys.com/is/image/MCY/9347241 </v>
      </c>
    </row>
    <row r="512" spans="1:9" x14ac:dyDescent="0.2">
      <c r="A512" s="3">
        <v>11307490</v>
      </c>
      <c r="B512" s="3">
        <v>191797902162</v>
      </c>
      <c r="C512" s="5" t="s">
        <v>621</v>
      </c>
      <c r="D512" s="4" t="s">
        <v>245</v>
      </c>
      <c r="E512" s="6" t="s">
        <v>85</v>
      </c>
      <c r="F512" s="10">
        <v>1</v>
      </c>
      <c r="G512" s="7">
        <v>98</v>
      </c>
      <c r="H512" s="7">
        <v>98</v>
      </c>
      <c r="I512" s="1" t="str">
        <f>HYPERLINK("http://slimages.macys.com/is/image/MCY/8999472 ")</f>
        <v xml:space="preserve">http://slimages.macys.com/is/image/MCY/8999472 </v>
      </c>
    </row>
    <row r="513" spans="1:9" x14ac:dyDescent="0.2">
      <c r="A513" s="3">
        <v>11307490</v>
      </c>
      <c r="B513" s="3">
        <v>747542238644</v>
      </c>
      <c r="C513" s="5" t="s">
        <v>622</v>
      </c>
      <c r="D513" s="4" t="s">
        <v>158</v>
      </c>
      <c r="E513" s="6" t="s">
        <v>85</v>
      </c>
      <c r="F513" s="10">
        <v>1</v>
      </c>
      <c r="G513" s="7">
        <v>89.7</v>
      </c>
      <c r="H513" s="7">
        <v>89.7</v>
      </c>
      <c r="I513" s="1" t="str">
        <f>HYPERLINK("http://slimages.macys.com/is/image/MCY/8926347 ")</f>
        <v xml:space="preserve">http://slimages.macys.com/is/image/MCY/8926347 </v>
      </c>
    </row>
    <row r="514" spans="1:9" x14ac:dyDescent="0.2">
      <c r="A514" s="3">
        <v>11307490</v>
      </c>
      <c r="B514" s="3">
        <v>190231119470</v>
      </c>
      <c r="C514" s="5" t="s">
        <v>623</v>
      </c>
      <c r="D514" s="4" t="s">
        <v>96</v>
      </c>
      <c r="E514" s="6" t="s">
        <v>85</v>
      </c>
      <c r="F514" s="10">
        <v>1</v>
      </c>
      <c r="G514" s="7">
        <v>88</v>
      </c>
      <c r="H514" s="7">
        <v>88</v>
      </c>
      <c r="I514" s="1" t="str">
        <f>HYPERLINK("http://images.bloomingdales.com/is/image/BLM/9570152 ")</f>
        <v xml:space="preserve">http://images.bloomingdales.com/is/image/BLM/9570152 </v>
      </c>
    </row>
    <row r="515" spans="1:9" x14ac:dyDescent="0.2">
      <c r="A515" s="3">
        <v>11307490</v>
      </c>
      <c r="B515" s="3">
        <v>190231119463</v>
      </c>
      <c r="C515" s="5" t="s">
        <v>623</v>
      </c>
      <c r="D515" s="4" t="s">
        <v>262</v>
      </c>
      <c r="E515" s="6" t="s">
        <v>85</v>
      </c>
      <c r="F515" s="10">
        <v>1</v>
      </c>
      <c r="G515" s="7">
        <v>88</v>
      </c>
      <c r="H515" s="7">
        <v>88</v>
      </c>
      <c r="I515" s="1" t="str">
        <f>HYPERLINK("http://images.bloomingdales.com/is/image/BLM/9524287 ")</f>
        <v xml:space="preserve">http://images.bloomingdales.com/is/image/BLM/9524287 </v>
      </c>
    </row>
    <row r="516" spans="1:9" x14ac:dyDescent="0.2">
      <c r="A516" s="3">
        <v>11307490</v>
      </c>
      <c r="B516" s="3">
        <v>889487376644</v>
      </c>
      <c r="C516" s="5" t="s">
        <v>624</v>
      </c>
      <c r="D516" s="4" t="s">
        <v>96</v>
      </c>
      <c r="E516" s="6" t="s">
        <v>85</v>
      </c>
      <c r="F516" s="10">
        <v>1</v>
      </c>
      <c r="G516" s="7">
        <v>88</v>
      </c>
      <c r="H516" s="7">
        <v>88</v>
      </c>
      <c r="I516" s="1" t="str">
        <f>HYPERLINK("http://slimages.macys.com/is/image/MCY/9594251 ")</f>
        <v xml:space="preserve">http://slimages.macys.com/is/image/MCY/9594251 </v>
      </c>
    </row>
    <row r="517" spans="1:9" x14ac:dyDescent="0.2">
      <c r="A517" s="3">
        <v>11307490</v>
      </c>
      <c r="B517" s="3">
        <v>889487343981</v>
      </c>
      <c r="C517" s="5" t="s">
        <v>625</v>
      </c>
      <c r="D517" s="4" t="s">
        <v>100</v>
      </c>
      <c r="E517" s="6" t="s">
        <v>85</v>
      </c>
      <c r="F517" s="10">
        <v>1</v>
      </c>
      <c r="G517" s="7">
        <v>88</v>
      </c>
      <c r="H517" s="7">
        <v>88</v>
      </c>
      <c r="I517" s="1" t="str">
        <f>HYPERLINK("http://slimages.macys.com/is/image/MCY/9308662 ")</f>
        <v xml:space="preserve">http://slimages.macys.com/is/image/MCY/9308662 </v>
      </c>
    </row>
    <row r="518" spans="1:9" x14ac:dyDescent="0.2">
      <c r="A518" s="3">
        <v>11307490</v>
      </c>
      <c r="B518" s="3">
        <v>889487301974</v>
      </c>
      <c r="C518" s="5" t="s">
        <v>626</v>
      </c>
      <c r="D518" s="4" t="s">
        <v>223</v>
      </c>
      <c r="E518" s="6" t="s">
        <v>85</v>
      </c>
      <c r="F518" s="10">
        <v>3</v>
      </c>
      <c r="G518" s="7">
        <v>88</v>
      </c>
      <c r="H518" s="7">
        <v>264</v>
      </c>
      <c r="I518" s="1" t="str">
        <f>HYPERLINK("http://slimages.macys.com/is/image/MCY/8994761 ")</f>
        <v xml:space="preserve">http://slimages.macys.com/is/image/MCY/8994761 </v>
      </c>
    </row>
    <row r="519" spans="1:9" x14ac:dyDescent="0.2">
      <c r="A519" s="3">
        <v>11307490</v>
      </c>
      <c r="B519" s="3">
        <v>889487304159</v>
      </c>
      <c r="C519" s="5" t="s">
        <v>627</v>
      </c>
      <c r="D519" s="4" t="s">
        <v>109</v>
      </c>
      <c r="E519" s="6" t="s">
        <v>85</v>
      </c>
      <c r="F519" s="10">
        <v>1</v>
      </c>
      <c r="G519" s="7">
        <v>88</v>
      </c>
      <c r="H519" s="7">
        <v>88</v>
      </c>
      <c r="I519" s="1" t="str">
        <f>HYPERLINK("http://slimages.macys.com/is/image/MCY/8869438 ")</f>
        <v xml:space="preserve">http://slimages.macys.com/is/image/MCY/8869438 </v>
      </c>
    </row>
    <row r="520" spans="1:9" x14ac:dyDescent="0.2">
      <c r="A520" s="3">
        <v>11307490</v>
      </c>
      <c r="B520" s="3">
        <v>740374885666</v>
      </c>
      <c r="C520" s="5" t="s">
        <v>551</v>
      </c>
      <c r="D520" s="4" t="s">
        <v>279</v>
      </c>
      <c r="E520" s="6" t="s">
        <v>85</v>
      </c>
      <c r="F520" s="10">
        <v>1</v>
      </c>
      <c r="G520" s="7">
        <v>84.78</v>
      </c>
      <c r="H520" s="7">
        <v>84.78</v>
      </c>
      <c r="I520" s="1" t="str">
        <f>HYPERLINK("http://slimages.macys.com/is/image/MCY/9792945 ")</f>
        <v xml:space="preserve">http://slimages.macys.com/is/image/MCY/9792945 </v>
      </c>
    </row>
    <row r="521" spans="1:9" x14ac:dyDescent="0.2">
      <c r="A521" s="3">
        <v>11307490</v>
      </c>
      <c r="B521" s="3">
        <v>715676023511</v>
      </c>
      <c r="C521" s="5" t="s">
        <v>628</v>
      </c>
      <c r="D521" s="4" t="s">
        <v>184</v>
      </c>
      <c r="E521" s="6" t="s">
        <v>85</v>
      </c>
      <c r="F521" s="10">
        <v>3</v>
      </c>
      <c r="G521" s="7">
        <v>78</v>
      </c>
      <c r="H521" s="7">
        <v>234</v>
      </c>
      <c r="I521" s="1" t="str">
        <f>HYPERLINK("http://slimages.macys.com/is/image/MCY/9612853 ")</f>
        <v xml:space="preserve">http://slimages.macys.com/is/image/MCY/9612853 </v>
      </c>
    </row>
    <row r="522" spans="1:9" x14ac:dyDescent="0.2">
      <c r="A522" s="3">
        <v>11307490</v>
      </c>
      <c r="B522" s="3">
        <v>715676023528</v>
      </c>
      <c r="C522" s="5" t="s">
        <v>629</v>
      </c>
      <c r="D522" s="4" t="s">
        <v>279</v>
      </c>
      <c r="E522" s="6" t="s">
        <v>85</v>
      </c>
      <c r="F522" s="10">
        <v>3</v>
      </c>
      <c r="G522" s="7">
        <v>78</v>
      </c>
      <c r="H522" s="7">
        <v>234</v>
      </c>
      <c r="I522" s="1" t="str">
        <f>HYPERLINK("http://slimages.macys.com/is/image/MCY/9612853 ")</f>
        <v xml:space="preserve">http://slimages.macys.com/is/image/MCY/9612853 </v>
      </c>
    </row>
    <row r="523" spans="1:9" x14ac:dyDescent="0.2">
      <c r="A523" s="3">
        <v>11307490</v>
      </c>
      <c r="B523" s="3">
        <v>5025546370658</v>
      </c>
      <c r="C523" s="5" t="s">
        <v>630</v>
      </c>
      <c r="D523" s="4" t="s">
        <v>355</v>
      </c>
      <c r="E523" s="6"/>
      <c r="F523" s="10">
        <v>1</v>
      </c>
      <c r="G523" s="7">
        <v>75</v>
      </c>
      <c r="H523" s="7">
        <v>75</v>
      </c>
      <c r="I523" s="1" t="str">
        <f>HYPERLINK("http://slimages.macys.com/is/image/MCY/9626336 ")</f>
        <v xml:space="preserve">http://slimages.macys.com/is/image/MCY/9626336 </v>
      </c>
    </row>
    <row r="524" spans="1:9" x14ac:dyDescent="0.2">
      <c r="A524" s="3">
        <v>11307490</v>
      </c>
      <c r="B524" s="3">
        <v>5025546386925</v>
      </c>
      <c r="C524" s="5" t="s">
        <v>631</v>
      </c>
      <c r="D524" s="4"/>
      <c r="E524" s="6"/>
      <c r="F524" s="10">
        <v>1</v>
      </c>
      <c r="G524" s="7">
        <v>75</v>
      </c>
      <c r="H524" s="7">
        <v>75</v>
      </c>
      <c r="I524" s="1" t="str">
        <f>HYPERLINK("http://slimages.macys.com/is/image/MCY/9351072 ")</f>
        <v xml:space="preserve">http://slimages.macys.com/is/image/MCY/9351072 </v>
      </c>
    </row>
    <row r="525" spans="1:9" x14ac:dyDescent="0.2">
      <c r="A525" s="3">
        <v>11307490</v>
      </c>
      <c r="B525" s="3">
        <v>723764551433</v>
      </c>
      <c r="C525" s="5" t="s">
        <v>421</v>
      </c>
      <c r="D525" s="4" t="s">
        <v>422</v>
      </c>
      <c r="E525" s="6" t="s">
        <v>82</v>
      </c>
      <c r="F525" s="10">
        <v>1</v>
      </c>
      <c r="G525" s="7">
        <v>75</v>
      </c>
      <c r="H525" s="7">
        <v>75</v>
      </c>
      <c r="I525" s="1" t="str">
        <f>HYPERLINK("http://slimages.macys.com/is/image/MCY/8965232 ")</f>
        <v xml:space="preserve">http://slimages.macys.com/is/image/MCY/8965232 </v>
      </c>
    </row>
    <row r="526" spans="1:9" x14ac:dyDescent="0.2">
      <c r="A526" s="3">
        <v>11307490</v>
      </c>
      <c r="B526" s="3">
        <v>723764528381</v>
      </c>
      <c r="C526" s="5" t="s">
        <v>632</v>
      </c>
      <c r="D526" s="4" t="s">
        <v>633</v>
      </c>
      <c r="E526" s="6" t="s">
        <v>82</v>
      </c>
      <c r="F526" s="10">
        <v>1</v>
      </c>
      <c r="G526" s="7">
        <v>75</v>
      </c>
      <c r="H526" s="7">
        <v>75</v>
      </c>
      <c r="I526" s="1" t="str">
        <f>HYPERLINK("http://slimages.macys.com/is/image/MCY/9441180 ")</f>
        <v xml:space="preserve">http://slimages.macys.com/is/image/MCY/9441180 </v>
      </c>
    </row>
    <row r="527" spans="1:9" x14ac:dyDescent="0.2">
      <c r="A527" s="3">
        <v>11307490</v>
      </c>
      <c r="B527" s="3">
        <v>5025546387526</v>
      </c>
      <c r="C527" s="5" t="s">
        <v>634</v>
      </c>
      <c r="D527" s="4" t="s">
        <v>355</v>
      </c>
      <c r="E527" s="6"/>
      <c r="F527" s="10">
        <v>1</v>
      </c>
      <c r="G527" s="7">
        <v>75</v>
      </c>
      <c r="H527" s="7">
        <v>75</v>
      </c>
      <c r="I527" s="1" t="str">
        <f>HYPERLINK("http://slimages.macys.com/is/image/MCY/9055758 ")</f>
        <v xml:space="preserve">http://slimages.macys.com/is/image/MCY/9055758 </v>
      </c>
    </row>
    <row r="528" spans="1:9" x14ac:dyDescent="0.2">
      <c r="A528" s="3">
        <v>11307490</v>
      </c>
      <c r="B528" s="3">
        <v>711640593639</v>
      </c>
      <c r="C528" s="5" t="s">
        <v>227</v>
      </c>
      <c r="D528" s="4" t="s">
        <v>94</v>
      </c>
      <c r="E528" s="6" t="s">
        <v>82</v>
      </c>
      <c r="F528" s="10">
        <v>1</v>
      </c>
      <c r="G528" s="7">
        <v>74.25</v>
      </c>
      <c r="H528" s="7">
        <v>74.25</v>
      </c>
      <c r="I528" s="1" t="str">
        <f>HYPERLINK("http://slimages.macys.com/is/image/MCY/9728744 ")</f>
        <v xml:space="preserve">http://slimages.macys.com/is/image/MCY/9728744 </v>
      </c>
    </row>
    <row r="529" spans="1:9" x14ac:dyDescent="0.2">
      <c r="A529" s="3">
        <v>11307490</v>
      </c>
      <c r="B529" s="3">
        <v>711640588420</v>
      </c>
      <c r="C529" s="5" t="s">
        <v>635</v>
      </c>
      <c r="D529" s="4" t="s">
        <v>636</v>
      </c>
      <c r="E529" s="6" t="s">
        <v>82</v>
      </c>
      <c r="F529" s="10">
        <v>1</v>
      </c>
      <c r="G529" s="7">
        <v>74.25</v>
      </c>
      <c r="H529" s="7">
        <v>74.25</v>
      </c>
      <c r="I529" s="1" t="str">
        <f>HYPERLINK("http://slimages.macys.com/is/image/MCY/9671698 ")</f>
        <v xml:space="preserve">http://slimages.macys.com/is/image/MCY/9671698 </v>
      </c>
    </row>
    <row r="530" spans="1:9" x14ac:dyDescent="0.2">
      <c r="A530" s="3">
        <v>11307490</v>
      </c>
      <c r="B530" s="3">
        <v>747542241323</v>
      </c>
      <c r="C530" s="5" t="s">
        <v>637</v>
      </c>
      <c r="D530" s="4" t="s">
        <v>166</v>
      </c>
      <c r="E530" s="6" t="s">
        <v>85</v>
      </c>
      <c r="F530" s="10">
        <v>1</v>
      </c>
      <c r="G530" s="7">
        <v>67.58</v>
      </c>
      <c r="H530" s="7">
        <v>67.58</v>
      </c>
      <c r="I530" s="1" t="str">
        <f>HYPERLINK("http://slimages.macys.com/is/image/MCY/9377943 ")</f>
        <v xml:space="preserve">http://slimages.macys.com/is/image/MCY/9377943 </v>
      </c>
    </row>
    <row r="531" spans="1:9" x14ac:dyDescent="0.2">
      <c r="A531" s="3">
        <v>11307490</v>
      </c>
      <c r="B531" s="3">
        <v>740348981622</v>
      </c>
      <c r="C531" s="5" t="s">
        <v>638</v>
      </c>
      <c r="D531" s="4" t="s">
        <v>135</v>
      </c>
      <c r="E531" s="6" t="s">
        <v>85</v>
      </c>
      <c r="F531" s="10">
        <v>1</v>
      </c>
      <c r="G531" s="7">
        <v>61.44</v>
      </c>
      <c r="H531" s="7">
        <v>61.44</v>
      </c>
      <c r="I531" s="1" t="str">
        <f>HYPERLINK("http://slimages.macys.com/is/image/MCY/9488931 ")</f>
        <v xml:space="preserve">http://slimages.macys.com/is/image/MCY/9488931 </v>
      </c>
    </row>
    <row r="532" spans="1:9" x14ac:dyDescent="0.2">
      <c r="A532" s="3">
        <v>11307490</v>
      </c>
      <c r="B532" s="3">
        <v>723764528398</v>
      </c>
      <c r="C532" s="5" t="s">
        <v>639</v>
      </c>
      <c r="D532" s="4" t="s">
        <v>633</v>
      </c>
      <c r="E532" s="6" t="s">
        <v>82</v>
      </c>
      <c r="F532" s="10">
        <v>1</v>
      </c>
      <c r="G532" s="7">
        <v>60</v>
      </c>
      <c r="H532" s="7">
        <v>60</v>
      </c>
      <c r="I532" s="1" t="str">
        <f>HYPERLINK("http://slimages.macys.com/is/image/MCY/3740157 ")</f>
        <v xml:space="preserve">http://slimages.macys.com/is/image/MCY/3740157 </v>
      </c>
    </row>
    <row r="533" spans="1:9" x14ac:dyDescent="0.2">
      <c r="A533" s="3">
        <v>11307490</v>
      </c>
      <c r="B533" s="3">
        <v>77979448850</v>
      </c>
      <c r="C533" s="5" t="s">
        <v>640</v>
      </c>
      <c r="D533" s="4" t="s">
        <v>91</v>
      </c>
      <c r="E533" s="6" t="s">
        <v>85</v>
      </c>
      <c r="F533" s="10">
        <v>1</v>
      </c>
      <c r="G533" s="7">
        <v>59.5</v>
      </c>
      <c r="H533" s="7">
        <v>59.5</v>
      </c>
      <c r="I533" s="1" t="str">
        <f>HYPERLINK("http://slimages.macys.com/is/image/MCY/3898897 ")</f>
        <v xml:space="preserve">http://slimages.macys.com/is/image/MCY/3898897 </v>
      </c>
    </row>
    <row r="534" spans="1:9" x14ac:dyDescent="0.2">
      <c r="A534" s="3">
        <v>11307490</v>
      </c>
      <c r="B534" s="3">
        <v>711640596609</v>
      </c>
      <c r="C534" s="5" t="s">
        <v>641</v>
      </c>
      <c r="D534" s="4" t="s">
        <v>314</v>
      </c>
      <c r="E534" s="6" t="s">
        <v>82</v>
      </c>
      <c r="F534" s="10">
        <v>1</v>
      </c>
      <c r="G534" s="7">
        <v>59.25</v>
      </c>
      <c r="H534" s="7">
        <v>59.25</v>
      </c>
      <c r="I534" s="1" t="str">
        <f>HYPERLINK("http://slimages.macys.com/is/image/MCY/9660828 ")</f>
        <v xml:space="preserve">http://slimages.macys.com/is/image/MCY/9660828 </v>
      </c>
    </row>
    <row r="535" spans="1:9" x14ac:dyDescent="0.2">
      <c r="A535" s="3">
        <v>11307490</v>
      </c>
      <c r="B535" s="3">
        <v>711640595510</v>
      </c>
      <c r="C535" s="5" t="s">
        <v>251</v>
      </c>
      <c r="D535" s="4" t="s">
        <v>103</v>
      </c>
      <c r="E535" s="6" t="s">
        <v>82</v>
      </c>
      <c r="F535" s="10">
        <v>2</v>
      </c>
      <c r="G535" s="7">
        <v>59.25</v>
      </c>
      <c r="H535" s="7">
        <v>118.5</v>
      </c>
      <c r="I535" s="1" t="str">
        <f>HYPERLINK("http://slimages.macys.com/is/image/MCY/9504476 ")</f>
        <v xml:space="preserve">http://slimages.macys.com/is/image/MCY/9504476 </v>
      </c>
    </row>
    <row r="536" spans="1:9" x14ac:dyDescent="0.2">
      <c r="A536" s="3">
        <v>11307490</v>
      </c>
      <c r="B536" s="3">
        <v>887986088877</v>
      </c>
      <c r="C536" s="5" t="s">
        <v>642</v>
      </c>
      <c r="D536" s="4" t="s">
        <v>220</v>
      </c>
      <c r="E536" s="6" t="s">
        <v>85</v>
      </c>
      <c r="F536" s="10">
        <v>1</v>
      </c>
      <c r="G536" s="7">
        <v>59</v>
      </c>
      <c r="H536" s="7">
        <v>59</v>
      </c>
      <c r="I536" s="1" t="str">
        <f>HYPERLINK("http://slimages.macys.com/is/image/MCY/8726779 ")</f>
        <v xml:space="preserve">http://slimages.macys.com/is/image/MCY/8726779 </v>
      </c>
    </row>
    <row r="537" spans="1:9" x14ac:dyDescent="0.2">
      <c r="A537" s="3">
        <v>11307490</v>
      </c>
      <c r="B537" s="3">
        <v>190049702659</v>
      </c>
      <c r="C537" s="5" t="s">
        <v>440</v>
      </c>
      <c r="D537" s="4" t="s">
        <v>87</v>
      </c>
      <c r="E537" s="6" t="s">
        <v>82</v>
      </c>
      <c r="F537" s="10">
        <v>39</v>
      </c>
      <c r="G537" s="7">
        <v>58.11</v>
      </c>
      <c r="H537" s="7">
        <v>2266.29</v>
      </c>
      <c r="I537" s="1" t="str">
        <f>HYPERLINK("http://slimages.macys.com/is/image/MCY/3891025 ")</f>
        <v xml:space="preserve">http://slimages.macys.com/is/image/MCY/3891025 </v>
      </c>
    </row>
    <row r="538" spans="1:9" x14ac:dyDescent="0.2">
      <c r="A538" s="3">
        <v>11307490</v>
      </c>
      <c r="B538" s="3">
        <v>191202470668</v>
      </c>
      <c r="C538" s="5" t="s">
        <v>449</v>
      </c>
      <c r="D538" s="4" t="s">
        <v>235</v>
      </c>
      <c r="E538" s="6" t="s">
        <v>82</v>
      </c>
      <c r="F538" s="10">
        <v>1</v>
      </c>
      <c r="G538" s="7">
        <v>45</v>
      </c>
      <c r="H538" s="7">
        <v>45</v>
      </c>
      <c r="I538" s="1" t="str">
        <f>HYPERLINK("http://slimages.macys.com/is/image/MCY/9478113 ")</f>
        <v xml:space="preserve">http://slimages.macys.com/is/image/MCY/9478113 </v>
      </c>
    </row>
    <row r="539" spans="1:9" x14ac:dyDescent="0.2">
      <c r="A539" s="3">
        <v>11307490</v>
      </c>
      <c r="B539" s="3">
        <v>98687196758</v>
      </c>
      <c r="C539" s="5" t="s">
        <v>643</v>
      </c>
      <c r="D539" s="4" t="s">
        <v>103</v>
      </c>
      <c r="E539" s="6" t="s">
        <v>85</v>
      </c>
      <c r="F539" s="10">
        <v>1</v>
      </c>
      <c r="G539" s="7">
        <v>45</v>
      </c>
      <c r="H539" s="7">
        <v>45</v>
      </c>
      <c r="I539" s="1" t="str">
        <f>HYPERLINK("http://slimages.macys.com/is/image/MCY/9511043 ")</f>
        <v xml:space="preserve">http://slimages.macys.com/is/image/MCY/9511043 </v>
      </c>
    </row>
    <row r="540" spans="1:9" x14ac:dyDescent="0.2">
      <c r="A540" s="3">
        <v>11307490</v>
      </c>
      <c r="B540" s="3">
        <v>191202470699</v>
      </c>
      <c r="C540" s="5" t="s">
        <v>459</v>
      </c>
      <c r="D540" s="4" t="s">
        <v>94</v>
      </c>
      <c r="E540" s="6" t="s">
        <v>82</v>
      </c>
      <c r="F540" s="10">
        <v>1</v>
      </c>
      <c r="G540" s="7">
        <v>35</v>
      </c>
      <c r="H540" s="7">
        <v>35</v>
      </c>
      <c r="I540" s="1" t="str">
        <f>HYPERLINK("http://slimages.macys.com/is/image/MCY/9484881 ")</f>
        <v xml:space="preserve">http://slimages.macys.com/is/image/MCY/9484881 </v>
      </c>
    </row>
    <row r="541" spans="1:9" x14ac:dyDescent="0.2">
      <c r="A541" s="3">
        <v>11307490</v>
      </c>
      <c r="B541" s="3">
        <v>191202470033</v>
      </c>
      <c r="C541" s="5" t="s">
        <v>455</v>
      </c>
      <c r="D541" s="4" t="s">
        <v>100</v>
      </c>
      <c r="E541" s="6" t="s">
        <v>82</v>
      </c>
      <c r="F541" s="10">
        <v>1</v>
      </c>
      <c r="G541" s="7">
        <v>35</v>
      </c>
      <c r="H541" s="7">
        <v>35</v>
      </c>
      <c r="I541" s="1" t="str">
        <f>HYPERLINK("http://slimages.macys.com/is/image/MCY/9471806 ")</f>
        <v xml:space="preserve">http://slimages.macys.com/is/image/MCY/9471806 </v>
      </c>
    </row>
    <row r="542" spans="1:9" x14ac:dyDescent="0.2">
      <c r="A542" s="3">
        <v>11307490</v>
      </c>
      <c r="B542" s="3">
        <v>191202470224</v>
      </c>
      <c r="C542" s="5" t="s">
        <v>457</v>
      </c>
      <c r="D542" s="4" t="s">
        <v>94</v>
      </c>
      <c r="E542" s="6" t="s">
        <v>82</v>
      </c>
      <c r="F542" s="10">
        <v>2</v>
      </c>
      <c r="G542" s="7">
        <v>35</v>
      </c>
      <c r="H542" s="7">
        <v>70</v>
      </c>
      <c r="I542" s="1" t="str">
        <f>HYPERLINK("http://slimages.macys.com/is/image/MCY/9478106 ")</f>
        <v xml:space="preserve">http://slimages.macys.com/is/image/MCY/9478106 </v>
      </c>
    </row>
    <row r="543" spans="1:9" x14ac:dyDescent="0.2">
      <c r="A543" s="3">
        <v>11307490</v>
      </c>
      <c r="B543" s="3">
        <v>191202235014</v>
      </c>
      <c r="C543" s="5" t="s">
        <v>464</v>
      </c>
      <c r="D543" s="4" t="s">
        <v>223</v>
      </c>
      <c r="E543" s="6" t="s">
        <v>82</v>
      </c>
      <c r="F543" s="10">
        <v>2</v>
      </c>
      <c r="G543" s="7">
        <v>30</v>
      </c>
      <c r="H543" s="7">
        <v>60</v>
      </c>
      <c r="I543" s="1" t="str">
        <f>HYPERLINK("http://slimages.macys.com/is/image/MCY/9062144 ")</f>
        <v xml:space="preserve">http://slimages.macys.com/is/image/MCY/9062144 </v>
      </c>
    </row>
    <row r="544" spans="1:9" x14ac:dyDescent="0.2">
      <c r="A544" s="3">
        <v>11307490</v>
      </c>
      <c r="B544" s="3">
        <v>191202226562</v>
      </c>
      <c r="C544" s="5" t="s">
        <v>461</v>
      </c>
      <c r="D544" s="4" t="s">
        <v>125</v>
      </c>
      <c r="E544" s="6" t="s">
        <v>82</v>
      </c>
      <c r="F544" s="10">
        <v>4</v>
      </c>
      <c r="G544" s="7">
        <v>30</v>
      </c>
      <c r="H544" s="7">
        <v>120</v>
      </c>
      <c r="I544" s="1" t="str">
        <f>HYPERLINK("http://slimages.macys.com/is/image/MCY/9062144 ")</f>
        <v xml:space="preserve">http://slimages.macys.com/is/image/MCY/9062144 </v>
      </c>
    </row>
    <row r="545" spans="1:9" x14ac:dyDescent="0.2">
      <c r="A545" s="3">
        <v>11307490</v>
      </c>
      <c r="B545" s="3">
        <v>191202228290</v>
      </c>
      <c r="C545" s="5" t="s">
        <v>463</v>
      </c>
      <c r="D545" s="4" t="s">
        <v>125</v>
      </c>
      <c r="E545" s="6" t="s">
        <v>82</v>
      </c>
      <c r="F545" s="10">
        <v>2</v>
      </c>
      <c r="G545" s="7">
        <v>30</v>
      </c>
      <c r="H545" s="7">
        <v>60</v>
      </c>
      <c r="I545" s="1" t="str">
        <f>HYPERLINK("http://slimages.macys.com/is/image/MCY/9062144 ")</f>
        <v xml:space="preserve">http://slimages.macys.com/is/image/MCY/9062144 </v>
      </c>
    </row>
    <row r="546" spans="1:9" x14ac:dyDescent="0.2">
      <c r="A546" s="3">
        <v>11307490</v>
      </c>
      <c r="B546" s="3">
        <v>191202228344</v>
      </c>
      <c r="C546" s="5" t="s">
        <v>282</v>
      </c>
      <c r="D546" s="4" t="s">
        <v>175</v>
      </c>
      <c r="E546" s="6" t="s">
        <v>82</v>
      </c>
      <c r="F546" s="10">
        <v>3</v>
      </c>
      <c r="G546" s="7">
        <v>30</v>
      </c>
      <c r="H546" s="7">
        <v>90</v>
      </c>
      <c r="I546" s="1" t="str">
        <f>HYPERLINK("http://slimages.macys.com/is/image/MCY/9062144 ")</f>
        <v xml:space="preserve">http://slimages.macys.com/is/image/MCY/9062144 </v>
      </c>
    </row>
    <row r="547" spans="1:9" x14ac:dyDescent="0.2">
      <c r="A547" s="3">
        <v>11307490</v>
      </c>
      <c r="B547" s="3">
        <v>51059788401</v>
      </c>
      <c r="C547" s="5" t="s">
        <v>644</v>
      </c>
      <c r="D547" s="4" t="s">
        <v>81</v>
      </c>
      <c r="E547" s="6" t="s">
        <v>85</v>
      </c>
      <c r="F547" s="10">
        <v>1</v>
      </c>
      <c r="G547" s="7">
        <v>24.5</v>
      </c>
      <c r="H547" s="7">
        <v>24.5</v>
      </c>
      <c r="I547" s="1" t="str">
        <f>HYPERLINK("http://slimages.macys.com/is/image/MCY/9238354 ")</f>
        <v xml:space="preserve">http://slimages.macys.com/is/image/MCY/9238354 </v>
      </c>
    </row>
    <row r="548" spans="1:9" x14ac:dyDescent="0.2">
      <c r="A548" s="3">
        <v>11307490</v>
      </c>
      <c r="B548" s="3">
        <v>882256322910</v>
      </c>
      <c r="C548" s="5" t="s">
        <v>645</v>
      </c>
      <c r="D548" s="4" t="s">
        <v>103</v>
      </c>
      <c r="E548" s="6" t="s">
        <v>85</v>
      </c>
      <c r="F548" s="10">
        <v>2</v>
      </c>
      <c r="G548" s="7">
        <v>22</v>
      </c>
      <c r="H548" s="7">
        <v>44</v>
      </c>
      <c r="I548" s="1" t="str">
        <f>HYPERLINK("http://slimages.macys.com/is/image/MCY/8915683 ")</f>
        <v xml:space="preserve">http://slimages.macys.com/is/image/MCY/8915683 </v>
      </c>
    </row>
    <row r="549" spans="1:9" x14ac:dyDescent="0.2">
      <c r="A549" s="3">
        <v>11322629</v>
      </c>
      <c r="B549" s="3">
        <v>191202068445</v>
      </c>
      <c r="C549" s="5" t="s">
        <v>646</v>
      </c>
      <c r="D549" s="4" t="s">
        <v>81</v>
      </c>
      <c r="E549" s="6" t="s">
        <v>82</v>
      </c>
      <c r="F549" s="10">
        <v>1</v>
      </c>
      <c r="G549" s="7">
        <v>695</v>
      </c>
      <c r="H549" s="7">
        <v>695</v>
      </c>
      <c r="I549" s="1" t="str">
        <f>HYPERLINK("http://slimages.macys.com/is/image/MCY/8910295 ")</f>
        <v xml:space="preserve">http://slimages.macys.com/is/image/MCY/8910295 </v>
      </c>
    </row>
    <row r="550" spans="1:9" x14ac:dyDescent="0.2">
      <c r="A550" s="3">
        <v>11322629</v>
      </c>
      <c r="B550" s="3">
        <v>889532904426</v>
      </c>
      <c r="C550" s="5" t="s">
        <v>647</v>
      </c>
      <c r="D550" s="4" t="s">
        <v>220</v>
      </c>
      <c r="E550" s="6" t="s">
        <v>82</v>
      </c>
      <c r="F550" s="10">
        <v>1</v>
      </c>
      <c r="G550" s="7">
        <v>495</v>
      </c>
      <c r="H550" s="7">
        <v>495</v>
      </c>
      <c r="I550" s="1" t="str">
        <f>HYPERLINK("http://slimages.macys.com/is/image/MCY/8543922 ")</f>
        <v xml:space="preserve">http://slimages.macys.com/is/image/MCY/8543922 </v>
      </c>
    </row>
    <row r="551" spans="1:9" x14ac:dyDescent="0.2">
      <c r="A551" s="3">
        <v>11322629</v>
      </c>
      <c r="B551" s="3">
        <v>191202067127</v>
      </c>
      <c r="C551" s="5" t="s">
        <v>648</v>
      </c>
      <c r="D551" s="4" t="s">
        <v>107</v>
      </c>
      <c r="E551" s="6" t="s">
        <v>82</v>
      </c>
      <c r="F551" s="10">
        <v>1</v>
      </c>
      <c r="G551" s="7">
        <v>450</v>
      </c>
      <c r="H551" s="7">
        <v>450</v>
      </c>
      <c r="I551" s="1" t="str">
        <f>HYPERLINK("http://slimages.macys.com/is/image/MCY/8880289 ")</f>
        <v xml:space="preserve">http://slimages.macys.com/is/image/MCY/8880289 </v>
      </c>
    </row>
    <row r="552" spans="1:9" x14ac:dyDescent="0.2">
      <c r="A552" s="3">
        <v>11322629</v>
      </c>
      <c r="B552" s="3">
        <v>191202084285</v>
      </c>
      <c r="C552" s="5" t="s">
        <v>649</v>
      </c>
      <c r="D552" s="4"/>
      <c r="E552" s="6" t="s">
        <v>82</v>
      </c>
      <c r="F552" s="10">
        <v>1</v>
      </c>
      <c r="G552" s="7">
        <v>450</v>
      </c>
      <c r="H552" s="7">
        <v>450</v>
      </c>
      <c r="I552" s="1" t="str">
        <f>HYPERLINK("http://slimages.macys.com/is/image/MCY/8634201 ")</f>
        <v xml:space="preserve">http://slimages.macys.com/is/image/MCY/8634201 </v>
      </c>
    </row>
    <row r="553" spans="1:9" x14ac:dyDescent="0.2">
      <c r="A553" s="3">
        <v>11322629</v>
      </c>
      <c r="B553" s="3">
        <v>191202069985</v>
      </c>
      <c r="C553" s="5" t="s">
        <v>650</v>
      </c>
      <c r="D553" s="4" t="s">
        <v>94</v>
      </c>
      <c r="E553" s="6" t="s">
        <v>82</v>
      </c>
      <c r="F553" s="10">
        <v>1</v>
      </c>
      <c r="G553" s="7">
        <v>450</v>
      </c>
      <c r="H553" s="7">
        <v>450</v>
      </c>
      <c r="I553" s="1" t="str">
        <f>HYPERLINK("http://slimages.macys.com/is/image/MCY/9383558 ")</f>
        <v xml:space="preserve">http://slimages.macys.com/is/image/MCY/9383558 </v>
      </c>
    </row>
    <row r="554" spans="1:9" x14ac:dyDescent="0.2">
      <c r="A554" s="3">
        <v>11322629</v>
      </c>
      <c r="B554" s="3">
        <v>191202067288</v>
      </c>
      <c r="C554" s="5" t="s">
        <v>651</v>
      </c>
      <c r="D554" s="4" t="s">
        <v>184</v>
      </c>
      <c r="E554" s="6" t="s">
        <v>82</v>
      </c>
      <c r="F554" s="10">
        <v>1</v>
      </c>
      <c r="G554" s="7">
        <v>450</v>
      </c>
      <c r="H554" s="7">
        <v>450</v>
      </c>
      <c r="I554" s="1" t="str">
        <f>HYPERLINK("http://slimages.macys.com/is/image/MCY/8884494 ")</f>
        <v xml:space="preserve">http://slimages.macys.com/is/image/MCY/8884494 </v>
      </c>
    </row>
    <row r="555" spans="1:9" x14ac:dyDescent="0.2">
      <c r="A555" s="3">
        <v>11322629</v>
      </c>
      <c r="B555" s="3">
        <v>191202224759</v>
      </c>
      <c r="C555" s="5" t="s">
        <v>652</v>
      </c>
      <c r="D555" s="4"/>
      <c r="E555" s="6" t="s">
        <v>82</v>
      </c>
      <c r="F555" s="10">
        <v>1</v>
      </c>
      <c r="G555" s="7">
        <v>450</v>
      </c>
      <c r="H555" s="7">
        <v>450</v>
      </c>
      <c r="I555" s="1" t="str">
        <f>HYPERLINK("http://slimages.macys.com/is/image/MCY/9063466 ")</f>
        <v xml:space="preserve">http://slimages.macys.com/is/image/MCY/9063466 </v>
      </c>
    </row>
    <row r="556" spans="1:9" x14ac:dyDescent="0.2">
      <c r="A556" s="3">
        <v>11322629</v>
      </c>
      <c r="B556" s="3">
        <v>191935075727</v>
      </c>
      <c r="C556" s="5" t="s">
        <v>653</v>
      </c>
      <c r="D556" s="4" t="s">
        <v>81</v>
      </c>
      <c r="E556" s="6" t="s">
        <v>82</v>
      </c>
      <c r="F556" s="10">
        <v>4</v>
      </c>
      <c r="G556" s="7">
        <v>398</v>
      </c>
      <c r="H556" s="7">
        <v>1592</v>
      </c>
      <c r="I556" s="1" t="str">
        <f>HYPERLINK("http://slimages.macys.com/is/image/MCY/9149525 ")</f>
        <v xml:space="preserve">http://slimages.macys.com/is/image/MCY/9149525 </v>
      </c>
    </row>
    <row r="557" spans="1:9" x14ac:dyDescent="0.2">
      <c r="A557" s="3">
        <v>11322629</v>
      </c>
      <c r="B557" s="3">
        <v>191202597761</v>
      </c>
      <c r="C557" s="5" t="s">
        <v>86</v>
      </c>
      <c r="D557" s="4" t="s">
        <v>87</v>
      </c>
      <c r="E557" s="6" t="s">
        <v>82</v>
      </c>
      <c r="F557" s="10">
        <v>2</v>
      </c>
      <c r="G557" s="7">
        <v>395</v>
      </c>
      <c r="H557" s="7">
        <v>790</v>
      </c>
      <c r="I557" s="1" t="str">
        <f>HYPERLINK("http://slimages.macys.com/is/image/MCY/9345463 ")</f>
        <v xml:space="preserve">http://slimages.macys.com/is/image/MCY/9345463 </v>
      </c>
    </row>
    <row r="558" spans="1:9" x14ac:dyDescent="0.2">
      <c r="A558" s="3">
        <v>11322629</v>
      </c>
      <c r="B558" s="3">
        <v>191935693006</v>
      </c>
      <c r="C558" s="5" t="s">
        <v>90</v>
      </c>
      <c r="D558" s="4" t="s">
        <v>91</v>
      </c>
      <c r="E558" s="6" t="s">
        <v>82</v>
      </c>
      <c r="F558" s="10">
        <v>1</v>
      </c>
      <c r="G558" s="7">
        <v>358</v>
      </c>
      <c r="H558" s="7">
        <v>358</v>
      </c>
      <c r="I558" s="1" t="str">
        <f>HYPERLINK("http://slimages.macys.com/is/image/MCY/9388732 ")</f>
        <v xml:space="preserve">http://slimages.macys.com/is/image/MCY/9388732 </v>
      </c>
    </row>
    <row r="559" spans="1:9" x14ac:dyDescent="0.2">
      <c r="A559" s="3">
        <v>11322629</v>
      </c>
      <c r="B559" s="3">
        <v>98687220842</v>
      </c>
      <c r="C559" s="5" t="s">
        <v>92</v>
      </c>
      <c r="D559" s="4"/>
      <c r="E559" s="6" t="s">
        <v>85</v>
      </c>
      <c r="F559" s="10">
        <v>1</v>
      </c>
      <c r="G559" s="7">
        <v>358</v>
      </c>
      <c r="H559" s="7">
        <v>358</v>
      </c>
      <c r="I559" s="1" t="str">
        <f>HYPERLINK("http://slimages.macys.com/is/image/MCY/9527050 ")</f>
        <v xml:space="preserve">http://slimages.macys.com/is/image/MCY/9527050 </v>
      </c>
    </row>
    <row r="560" spans="1:9" x14ac:dyDescent="0.2">
      <c r="A560" s="3">
        <v>11322629</v>
      </c>
      <c r="B560" s="3">
        <v>190049690611</v>
      </c>
      <c r="C560" s="5" t="s">
        <v>654</v>
      </c>
      <c r="D560" s="4" t="s">
        <v>146</v>
      </c>
      <c r="E560" s="6" t="s">
        <v>82</v>
      </c>
      <c r="F560" s="10">
        <v>1</v>
      </c>
      <c r="G560" s="7">
        <v>348</v>
      </c>
      <c r="H560" s="7">
        <v>348</v>
      </c>
      <c r="I560" s="1" t="str">
        <f>HYPERLINK("http://slimages.macys.com/is/image/MCY/4004089 ")</f>
        <v xml:space="preserve">http://slimages.macys.com/is/image/MCY/4004089 </v>
      </c>
    </row>
    <row r="561" spans="1:9" x14ac:dyDescent="0.2">
      <c r="A561" s="3">
        <v>11322629</v>
      </c>
      <c r="B561" s="3">
        <v>190864481920</v>
      </c>
      <c r="C561" s="5" t="s">
        <v>655</v>
      </c>
      <c r="D561" s="4" t="s">
        <v>148</v>
      </c>
      <c r="E561" s="6" t="s">
        <v>82</v>
      </c>
      <c r="F561" s="10">
        <v>2</v>
      </c>
      <c r="G561" s="7">
        <v>298</v>
      </c>
      <c r="H561" s="7">
        <v>596</v>
      </c>
      <c r="I561" s="1" t="str">
        <f>HYPERLINK("http://slimages.macys.com/is/image/MCY/8831001 ")</f>
        <v xml:space="preserve">http://slimages.macys.com/is/image/MCY/8831001 </v>
      </c>
    </row>
    <row r="562" spans="1:9" x14ac:dyDescent="0.2">
      <c r="A562" s="3">
        <v>11322629</v>
      </c>
      <c r="B562" s="3">
        <v>191935078520</v>
      </c>
      <c r="C562" s="5" t="s">
        <v>656</v>
      </c>
      <c r="D562" s="4" t="s">
        <v>148</v>
      </c>
      <c r="E562" s="6" t="s">
        <v>82</v>
      </c>
      <c r="F562" s="10">
        <v>1</v>
      </c>
      <c r="G562" s="7">
        <v>298</v>
      </c>
      <c r="H562" s="7">
        <v>298</v>
      </c>
      <c r="I562" s="1" t="str">
        <f>HYPERLINK("http://slimages.macys.com/is/image/MCY/9087405 ")</f>
        <v xml:space="preserve">http://slimages.macys.com/is/image/MCY/9087405 </v>
      </c>
    </row>
    <row r="563" spans="1:9" x14ac:dyDescent="0.2">
      <c r="A563" s="3">
        <v>11322629</v>
      </c>
      <c r="B563" s="3">
        <v>191262355110</v>
      </c>
      <c r="C563" s="5" t="s">
        <v>657</v>
      </c>
      <c r="D563" s="4" t="s">
        <v>109</v>
      </c>
      <c r="E563" s="6" t="s">
        <v>82</v>
      </c>
      <c r="F563" s="10">
        <v>1</v>
      </c>
      <c r="G563" s="7">
        <v>298</v>
      </c>
      <c r="H563" s="7">
        <v>298</v>
      </c>
      <c r="I563" s="1" t="str">
        <f>HYPERLINK("http://slimages.macys.com/is/image/MCY/8831156 ")</f>
        <v xml:space="preserve">http://slimages.macys.com/is/image/MCY/8831156 </v>
      </c>
    </row>
    <row r="564" spans="1:9" x14ac:dyDescent="0.2">
      <c r="A564" s="3">
        <v>11322629</v>
      </c>
      <c r="B564" s="3">
        <v>191202231603</v>
      </c>
      <c r="C564" s="5" t="s">
        <v>658</v>
      </c>
      <c r="D564" s="4" t="s">
        <v>100</v>
      </c>
      <c r="E564" s="6" t="s">
        <v>82</v>
      </c>
      <c r="F564" s="10">
        <v>2</v>
      </c>
      <c r="G564" s="7">
        <v>295</v>
      </c>
      <c r="H564" s="7">
        <v>590</v>
      </c>
      <c r="I564" s="1" t="str">
        <f>HYPERLINK("http://slimages.macys.com/is/image/MCY/8988706 ")</f>
        <v xml:space="preserve">http://slimages.macys.com/is/image/MCY/8988706 </v>
      </c>
    </row>
    <row r="565" spans="1:9" x14ac:dyDescent="0.2">
      <c r="A565" s="3">
        <v>11322629</v>
      </c>
      <c r="B565" s="3">
        <v>191935077004</v>
      </c>
      <c r="C565" s="5" t="s">
        <v>659</v>
      </c>
      <c r="D565" s="4" t="s">
        <v>148</v>
      </c>
      <c r="E565" s="6" t="s">
        <v>82</v>
      </c>
      <c r="F565" s="10">
        <v>1</v>
      </c>
      <c r="G565" s="7">
        <v>278</v>
      </c>
      <c r="H565" s="7">
        <v>278</v>
      </c>
      <c r="I565" s="1" t="str">
        <f>HYPERLINK("http://slimages.macys.com/is/image/MCY/9701952 ")</f>
        <v xml:space="preserve">http://slimages.macys.com/is/image/MCY/9701952 </v>
      </c>
    </row>
    <row r="566" spans="1:9" x14ac:dyDescent="0.2">
      <c r="A566" s="3">
        <v>11322629</v>
      </c>
      <c r="B566" s="3">
        <v>5025546549887</v>
      </c>
      <c r="C566" s="5" t="s">
        <v>660</v>
      </c>
      <c r="D566" s="4" t="s">
        <v>94</v>
      </c>
      <c r="E566" s="6" t="s">
        <v>132</v>
      </c>
      <c r="F566" s="10">
        <v>1</v>
      </c>
      <c r="G566" s="7">
        <v>265</v>
      </c>
      <c r="H566" s="7">
        <v>265</v>
      </c>
      <c r="I566" s="1" t="str">
        <f>HYPERLINK("http://slimages.macys.com/is/image/MCY/9287437 ")</f>
        <v xml:space="preserve">http://slimages.macys.com/is/image/MCY/9287437 </v>
      </c>
    </row>
    <row r="567" spans="1:9" x14ac:dyDescent="0.2">
      <c r="A567" s="3">
        <v>11322629</v>
      </c>
      <c r="B567" s="3">
        <v>887986102153</v>
      </c>
      <c r="C567" s="5" t="s">
        <v>661</v>
      </c>
      <c r="D567" s="4" t="s">
        <v>81</v>
      </c>
      <c r="E567" s="6" t="s">
        <v>85</v>
      </c>
      <c r="F567" s="10">
        <v>1</v>
      </c>
      <c r="G567" s="7">
        <v>249</v>
      </c>
      <c r="H567" s="7">
        <v>249</v>
      </c>
      <c r="I567" s="1" t="str">
        <f>HYPERLINK("http://slimages.macys.com/is/image/MCY/9266021 ")</f>
        <v xml:space="preserve">http://slimages.macys.com/is/image/MCY/9266021 </v>
      </c>
    </row>
    <row r="568" spans="1:9" x14ac:dyDescent="0.2">
      <c r="A568" s="3">
        <v>11322629</v>
      </c>
      <c r="B568" s="3">
        <v>190662749031</v>
      </c>
      <c r="C568" s="5" t="s">
        <v>662</v>
      </c>
      <c r="D568" s="4" t="s">
        <v>109</v>
      </c>
      <c r="E568" s="6" t="s">
        <v>85</v>
      </c>
      <c r="F568" s="10">
        <v>1</v>
      </c>
      <c r="G568" s="7">
        <v>248</v>
      </c>
      <c r="H568" s="7">
        <v>248</v>
      </c>
      <c r="I568" s="1" t="str">
        <f>HYPERLINK("http://slimages.macys.com/is/image/MCY/9227358 ")</f>
        <v xml:space="preserve">http://slimages.macys.com/is/image/MCY/9227358 </v>
      </c>
    </row>
    <row r="569" spans="1:9" x14ac:dyDescent="0.2">
      <c r="A569" s="3">
        <v>11322629</v>
      </c>
      <c r="B569" s="3">
        <v>190049425237</v>
      </c>
      <c r="C569" s="5" t="s">
        <v>319</v>
      </c>
      <c r="D569" s="4" t="s">
        <v>103</v>
      </c>
      <c r="E569" s="6" t="s">
        <v>82</v>
      </c>
      <c r="F569" s="10">
        <v>8</v>
      </c>
      <c r="G569" s="7">
        <v>248</v>
      </c>
      <c r="H569" s="7">
        <v>1984</v>
      </c>
      <c r="I569" s="1" t="str">
        <f>HYPERLINK("http://slimages.macys.com/is/image/MCY/9282539 ")</f>
        <v xml:space="preserve">http://slimages.macys.com/is/image/MCY/9282539 </v>
      </c>
    </row>
    <row r="570" spans="1:9" x14ac:dyDescent="0.2">
      <c r="A570" s="3">
        <v>11322629</v>
      </c>
      <c r="B570" s="3">
        <v>191935071002</v>
      </c>
      <c r="C570" s="5" t="s">
        <v>317</v>
      </c>
      <c r="D570" s="4" t="s">
        <v>158</v>
      </c>
      <c r="E570" s="6" t="s">
        <v>82</v>
      </c>
      <c r="F570" s="10">
        <v>3</v>
      </c>
      <c r="G570" s="7">
        <v>248</v>
      </c>
      <c r="H570" s="7">
        <v>744</v>
      </c>
      <c r="I570" s="1" t="str">
        <f>HYPERLINK("http://slimages.macys.com/is/image/MCY/9282539 ")</f>
        <v xml:space="preserve">http://slimages.macys.com/is/image/MCY/9282539 </v>
      </c>
    </row>
    <row r="571" spans="1:9" x14ac:dyDescent="0.2">
      <c r="A571" s="3">
        <v>11322629</v>
      </c>
      <c r="B571" s="3">
        <v>802892719370</v>
      </c>
      <c r="C571" s="5" t="s">
        <v>127</v>
      </c>
      <c r="D571" s="4" t="s">
        <v>100</v>
      </c>
      <c r="E571" s="6" t="s">
        <v>85</v>
      </c>
      <c r="F571" s="10">
        <v>1</v>
      </c>
      <c r="G571" s="7">
        <v>248</v>
      </c>
      <c r="H571" s="7">
        <v>248</v>
      </c>
      <c r="I571" s="1" t="str">
        <f>HYPERLINK("http://slimages.macys.com/is/image/MCY/9345786 ")</f>
        <v xml:space="preserve">http://slimages.macys.com/is/image/MCY/9345786 </v>
      </c>
    </row>
    <row r="572" spans="1:9" x14ac:dyDescent="0.2">
      <c r="A572" s="3">
        <v>11322629</v>
      </c>
      <c r="B572" s="3">
        <v>802892490316</v>
      </c>
      <c r="C572" s="5" t="s">
        <v>663</v>
      </c>
      <c r="D572" s="4" t="s">
        <v>89</v>
      </c>
      <c r="E572" s="6" t="s">
        <v>85</v>
      </c>
      <c r="F572" s="10">
        <v>1</v>
      </c>
      <c r="G572" s="7">
        <v>248</v>
      </c>
      <c r="H572" s="7">
        <v>248</v>
      </c>
      <c r="I572" s="1" t="str">
        <f>HYPERLINK("http://slimages.macys.com/is/image/MCY/9509647 ")</f>
        <v xml:space="preserve">http://slimages.macys.com/is/image/MCY/9509647 </v>
      </c>
    </row>
    <row r="573" spans="1:9" x14ac:dyDescent="0.2">
      <c r="A573" s="3">
        <v>11322629</v>
      </c>
      <c r="B573" s="3">
        <v>887986071008</v>
      </c>
      <c r="C573" s="5" t="s">
        <v>664</v>
      </c>
      <c r="D573" s="4" t="s">
        <v>105</v>
      </c>
      <c r="E573" s="6" t="s">
        <v>85</v>
      </c>
      <c r="F573" s="10">
        <v>1</v>
      </c>
      <c r="G573" s="7">
        <v>229</v>
      </c>
      <c r="H573" s="7">
        <v>229</v>
      </c>
      <c r="I573" s="1" t="str">
        <f>HYPERLINK("http://slimages.macys.com/is/image/MCY/8553426 ")</f>
        <v xml:space="preserve">http://slimages.macys.com/is/image/MCY/8553426 </v>
      </c>
    </row>
    <row r="574" spans="1:9" x14ac:dyDescent="0.2">
      <c r="A574" s="3">
        <v>11322629</v>
      </c>
      <c r="B574" s="3">
        <v>5025546384594</v>
      </c>
      <c r="C574" s="5" t="s">
        <v>131</v>
      </c>
      <c r="D574" s="4" t="s">
        <v>81</v>
      </c>
      <c r="E574" s="6" t="s">
        <v>132</v>
      </c>
      <c r="F574" s="10">
        <v>1</v>
      </c>
      <c r="G574" s="7">
        <v>225</v>
      </c>
      <c r="H574" s="7">
        <v>225</v>
      </c>
      <c r="I574" s="1" t="str">
        <f>HYPERLINK("http://slimages.macys.com/is/image/MCY/9046582 ")</f>
        <v xml:space="preserve">http://slimages.macys.com/is/image/MCY/9046582 </v>
      </c>
    </row>
    <row r="575" spans="1:9" x14ac:dyDescent="0.2">
      <c r="A575" s="3">
        <v>11322629</v>
      </c>
      <c r="B575" s="3">
        <v>887986092454</v>
      </c>
      <c r="C575" s="5" t="s">
        <v>665</v>
      </c>
      <c r="D575" s="4" t="s">
        <v>454</v>
      </c>
      <c r="E575" s="6" t="s">
        <v>85</v>
      </c>
      <c r="F575" s="10">
        <v>1</v>
      </c>
      <c r="G575" s="7">
        <v>199</v>
      </c>
      <c r="H575" s="7">
        <v>199</v>
      </c>
      <c r="I575" s="1" t="str">
        <f>HYPERLINK("http://slimages.macys.com/is/image/MCY/9806912 ")</f>
        <v xml:space="preserve">http://slimages.macys.com/is/image/MCY/9806912 </v>
      </c>
    </row>
    <row r="576" spans="1:9" x14ac:dyDescent="0.2">
      <c r="A576" s="3">
        <v>11322629</v>
      </c>
      <c r="B576" s="3">
        <v>802892988202</v>
      </c>
      <c r="C576" s="5" t="s">
        <v>666</v>
      </c>
      <c r="D576" s="4" t="s">
        <v>81</v>
      </c>
      <c r="E576" s="6" t="s">
        <v>85</v>
      </c>
      <c r="F576" s="10">
        <v>1</v>
      </c>
      <c r="G576" s="7">
        <v>198</v>
      </c>
      <c r="H576" s="7">
        <v>198</v>
      </c>
      <c r="I576" s="1" t="str">
        <f>HYPERLINK("http://slimages.macys.com/is/image/MCY/8756095 ")</f>
        <v xml:space="preserve">http://slimages.macys.com/is/image/MCY/8756095 </v>
      </c>
    </row>
    <row r="577" spans="1:9" x14ac:dyDescent="0.2">
      <c r="A577" s="3">
        <v>11322629</v>
      </c>
      <c r="B577" s="3">
        <v>191935096890</v>
      </c>
      <c r="C577" s="5" t="s">
        <v>667</v>
      </c>
      <c r="D577" s="4" t="s">
        <v>81</v>
      </c>
      <c r="E577" s="6" t="s">
        <v>82</v>
      </c>
      <c r="F577" s="10">
        <v>1</v>
      </c>
      <c r="G577" s="7">
        <v>188</v>
      </c>
      <c r="H577" s="7">
        <v>188</v>
      </c>
      <c r="I577" s="1" t="str">
        <f>HYPERLINK("http://slimages.macys.com/is/image/MCY/8959106 ")</f>
        <v xml:space="preserve">http://slimages.macys.com/is/image/MCY/8959106 </v>
      </c>
    </row>
    <row r="578" spans="1:9" x14ac:dyDescent="0.2">
      <c r="A578" s="3">
        <v>11322629</v>
      </c>
      <c r="B578" s="3">
        <v>802892845918</v>
      </c>
      <c r="C578" s="5" t="s">
        <v>668</v>
      </c>
      <c r="D578" s="4" t="s">
        <v>81</v>
      </c>
      <c r="E578" s="6" t="s">
        <v>85</v>
      </c>
      <c r="F578" s="10">
        <v>1</v>
      </c>
      <c r="G578" s="7">
        <v>178</v>
      </c>
      <c r="H578" s="7">
        <v>178</v>
      </c>
      <c r="I578" s="1" t="str">
        <f>HYPERLINK("http://slimages.macys.com/is/image/MCY/9079960 ")</f>
        <v xml:space="preserve">http://slimages.macys.com/is/image/MCY/9079960 </v>
      </c>
    </row>
    <row r="579" spans="1:9" x14ac:dyDescent="0.2">
      <c r="A579" s="3">
        <v>11322629</v>
      </c>
      <c r="B579" s="3">
        <v>887986053387</v>
      </c>
      <c r="C579" s="5" t="s">
        <v>669</v>
      </c>
      <c r="D579" s="4" t="s">
        <v>105</v>
      </c>
      <c r="E579" s="6" t="s">
        <v>85</v>
      </c>
      <c r="F579" s="10">
        <v>1</v>
      </c>
      <c r="G579" s="7">
        <v>169</v>
      </c>
      <c r="H579" s="7">
        <v>169</v>
      </c>
      <c r="I579" s="1" t="str">
        <f>HYPERLINK("http://slimages.macys.com/is/image/MCY/3878878 ")</f>
        <v xml:space="preserve">http://slimages.macys.com/is/image/MCY/3878878 </v>
      </c>
    </row>
    <row r="580" spans="1:9" x14ac:dyDescent="0.2">
      <c r="A580" s="3">
        <v>11322629</v>
      </c>
      <c r="B580" s="3">
        <v>802892523601</v>
      </c>
      <c r="C580" s="5" t="s">
        <v>670</v>
      </c>
      <c r="D580" s="4" t="s">
        <v>422</v>
      </c>
      <c r="E580" s="6" t="s">
        <v>85</v>
      </c>
      <c r="F580" s="10">
        <v>1</v>
      </c>
      <c r="G580" s="7">
        <v>168</v>
      </c>
      <c r="H580" s="7">
        <v>168</v>
      </c>
      <c r="I580" s="1" t="str">
        <f>HYPERLINK("http://slimages.macys.com/is/image/MCY/9592138 ")</f>
        <v xml:space="preserve">http://slimages.macys.com/is/image/MCY/9592138 </v>
      </c>
    </row>
    <row r="581" spans="1:9" x14ac:dyDescent="0.2">
      <c r="A581" s="3">
        <v>11322629</v>
      </c>
      <c r="B581" s="3">
        <v>191202218888</v>
      </c>
      <c r="C581" s="5" t="s">
        <v>671</v>
      </c>
      <c r="D581" s="4" t="s">
        <v>166</v>
      </c>
      <c r="E581" s="6" t="s">
        <v>82</v>
      </c>
      <c r="F581" s="10">
        <v>1</v>
      </c>
      <c r="G581" s="7">
        <v>165</v>
      </c>
      <c r="H581" s="7">
        <v>165</v>
      </c>
      <c r="I581" s="1" t="str">
        <f>HYPERLINK("http://slimages.macys.com/is/image/MCY/9161617 ")</f>
        <v xml:space="preserve">http://slimages.macys.com/is/image/MCY/9161617 </v>
      </c>
    </row>
    <row r="582" spans="1:9" x14ac:dyDescent="0.2">
      <c r="A582" s="3">
        <v>11322629</v>
      </c>
      <c r="B582" s="3">
        <v>802892842276</v>
      </c>
      <c r="C582" s="5" t="s">
        <v>672</v>
      </c>
      <c r="D582" s="4" t="s">
        <v>105</v>
      </c>
      <c r="E582" s="6" t="s">
        <v>85</v>
      </c>
      <c r="F582" s="10">
        <v>1</v>
      </c>
      <c r="G582" s="7">
        <v>158</v>
      </c>
      <c r="H582" s="7">
        <v>158</v>
      </c>
      <c r="I582" s="1" t="str">
        <f>HYPERLINK("http://slimages.macys.com/is/image/MCY/9379268 ")</f>
        <v xml:space="preserve">http://slimages.macys.com/is/image/MCY/9379268 </v>
      </c>
    </row>
    <row r="583" spans="1:9" x14ac:dyDescent="0.2">
      <c r="A583" s="3">
        <v>11322629</v>
      </c>
      <c r="B583" s="3">
        <v>887986104072</v>
      </c>
      <c r="C583" s="5" t="s">
        <v>673</v>
      </c>
      <c r="D583" s="4" t="s">
        <v>105</v>
      </c>
      <c r="E583" s="6" t="s">
        <v>85</v>
      </c>
      <c r="F583" s="10">
        <v>1</v>
      </c>
      <c r="G583" s="7">
        <v>149</v>
      </c>
      <c r="H583" s="7">
        <v>149</v>
      </c>
      <c r="I583" s="1" t="str">
        <f>HYPERLINK("http://slimages.macys.com/is/image/MCY/9395705 ")</f>
        <v xml:space="preserve">http://slimages.macys.com/is/image/MCY/9395705 </v>
      </c>
    </row>
    <row r="584" spans="1:9" x14ac:dyDescent="0.2">
      <c r="A584" s="3">
        <v>11322629</v>
      </c>
      <c r="B584" s="3">
        <v>5025546385126</v>
      </c>
      <c r="C584" s="5" t="s">
        <v>357</v>
      </c>
      <c r="D584" s="4" t="s">
        <v>94</v>
      </c>
      <c r="E584" s="6" t="s">
        <v>143</v>
      </c>
      <c r="F584" s="10">
        <v>1</v>
      </c>
      <c r="G584" s="7">
        <v>145</v>
      </c>
      <c r="H584" s="7">
        <v>145</v>
      </c>
      <c r="I584" s="1" t="str">
        <f>HYPERLINK("http://slimages.macys.com/is/image/MCY/9052129 ")</f>
        <v xml:space="preserve">http://slimages.macys.com/is/image/MCY/9052129 </v>
      </c>
    </row>
    <row r="585" spans="1:9" x14ac:dyDescent="0.2">
      <c r="A585" s="3">
        <v>11322629</v>
      </c>
      <c r="B585" s="3">
        <v>191202221017</v>
      </c>
      <c r="C585" s="5" t="s">
        <v>674</v>
      </c>
      <c r="D585" s="4" t="s">
        <v>353</v>
      </c>
      <c r="E585" s="6" t="s">
        <v>82</v>
      </c>
      <c r="F585" s="10">
        <v>1</v>
      </c>
      <c r="G585" s="7">
        <v>145</v>
      </c>
      <c r="H585" s="7">
        <v>145</v>
      </c>
      <c r="I585" s="1"/>
    </row>
    <row r="586" spans="1:9" x14ac:dyDescent="0.2">
      <c r="A586" s="3">
        <v>11322629</v>
      </c>
      <c r="B586" s="3">
        <v>711640588390</v>
      </c>
      <c r="C586" s="5" t="s">
        <v>675</v>
      </c>
      <c r="D586" s="4" t="s">
        <v>223</v>
      </c>
      <c r="E586" s="6" t="s">
        <v>82</v>
      </c>
      <c r="F586" s="10">
        <v>1</v>
      </c>
      <c r="G586" s="7">
        <v>134.25</v>
      </c>
      <c r="H586" s="7">
        <v>134.25</v>
      </c>
      <c r="I586" s="1" t="str">
        <f>HYPERLINK("http://slimages.macys.com/is/image/MCY/9414700 ")</f>
        <v xml:space="preserve">http://slimages.macys.com/is/image/MCY/9414700 </v>
      </c>
    </row>
    <row r="587" spans="1:9" x14ac:dyDescent="0.2">
      <c r="A587" s="3">
        <v>11322629</v>
      </c>
      <c r="B587" s="3">
        <v>711640584675</v>
      </c>
      <c r="C587" s="5" t="s">
        <v>169</v>
      </c>
      <c r="D587" s="4" t="s">
        <v>98</v>
      </c>
      <c r="E587" s="6" t="s">
        <v>82</v>
      </c>
      <c r="F587" s="10">
        <v>2</v>
      </c>
      <c r="G587" s="7">
        <v>134.25</v>
      </c>
      <c r="H587" s="7">
        <v>268.5</v>
      </c>
      <c r="I587" s="1" t="str">
        <f>HYPERLINK("http://slimages.macys.com/is/image/MCY/9745704 ")</f>
        <v xml:space="preserve">http://slimages.macys.com/is/image/MCY/9745704 </v>
      </c>
    </row>
    <row r="588" spans="1:9" x14ac:dyDescent="0.2">
      <c r="A588" s="3">
        <v>11322629</v>
      </c>
      <c r="B588" s="3">
        <v>711640567319</v>
      </c>
      <c r="C588" s="5" t="s">
        <v>676</v>
      </c>
      <c r="D588" s="4" t="s">
        <v>98</v>
      </c>
      <c r="E588" s="6" t="s">
        <v>82</v>
      </c>
      <c r="F588" s="10">
        <v>1</v>
      </c>
      <c r="G588" s="7">
        <v>126.75</v>
      </c>
      <c r="H588" s="7">
        <v>126.75</v>
      </c>
      <c r="I588" s="1" t="str">
        <f>HYPERLINK("http://slimages.macys.com/is/image/MCY/9535085 ")</f>
        <v xml:space="preserve">http://slimages.macys.com/is/image/MCY/9535085 </v>
      </c>
    </row>
    <row r="589" spans="1:9" x14ac:dyDescent="0.2">
      <c r="A589" s="3">
        <v>11322629</v>
      </c>
      <c r="B589" s="3">
        <v>191202622197</v>
      </c>
      <c r="C589" s="5" t="s">
        <v>677</v>
      </c>
      <c r="D589" s="4" t="s">
        <v>155</v>
      </c>
      <c r="E589" s="6" t="s">
        <v>82</v>
      </c>
      <c r="F589" s="10">
        <v>1</v>
      </c>
      <c r="G589" s="7">
        <v>125</v>
      </c>
      <c r="H589" s="7">
        <v>125</v>
      </c>
      <c r="I589" s="1" t="str">
        <f>HYPERLINK("http://slimages.macys.com/is/image/MCY/9493100 ")</f>
        <v xml:space="preserve">http://slimages.macys.com/is/image/MCY/9493100 </v>
      </c>
    </row>
    <row r="590" spans="1:9" x14ac:dyDescent="0.2">
      <c r="A590" s="3">
        <v>11322629</v>
      </c>
      <c r="B590" s="3">
        <v>711640567609</v>
      </c>
      <c r="C590" s="5" t="s">
        <v>371</v>
      </c>
      <c r="D590" s="4" t="s">
        <v>168</v>
      </c>
      <c r="E590" s="6" t="s">
        <v>82</v>
      </c>
      <c r="F590" s="10">
        <v>1</v>
      </c>
      <c r="G590" s="7">
        <v>119.25</v>
      </c>
      <c r="H590" s="7">
        <v>119.25</v>
      </c>
      <c r="I590" s="1" t="str">
        <f>HYPERLINK("http://slimages.macys.com/is/image/MCY/9989106 ")</f>
        <v xml:space="preserve">http://slimages.macys.com/is/image/MCY/9989106 </v>
      </c>
    </row>
    <row r="591" spans="1:9" x14ac:dyDescent="0.2">
      <c r="A591" s="3">
        <v>11322629</v>
      </c>
      <c r="B591" s="3">
        <v>882256361186</v>
      </c>
      <c r="C591" s="5" t="s">
        <v>678</v>
      </c>
      <c r="D591" s="4" t="s">
        <v>184</v>
      </c>
      <c r="E591" s="6" t="s">
        <v>173</v>
      </c>
      <c r="F591" s="10">
        <v>1</v>
      </c>
      <c r="G591" s="7">
        <v>119</v>
      </c>
      <c r="H591" s="7">
        <v>119</v>
      </c>
      <c r="I591" s="1" t="str">
        <f>HYPERLINK("http://slimages.macys.com/is/image/MCY/9651385 ")</f>
        <v xml:space="preserve">http://slimages.macys.com/is/image/MCY/9651385 </v>
      </c>
    </row>
    <row r="592" spans="1:9" x14ac:dyDescent="0.2">
      <c r="A592" s="3">
        <v>11322629</v>
      </c>
      <c r="B592" s="3">
        <v>889487265177</v>
      </c>
      <c r="C592" s="5" t="s">
        <v>679</v>
      </c>
      <c r="D592" s="4" t="s">
        <v>81</v>
      </c>
      <c r="E592" s="6" t="s">
        <v>85</v>
      </c>
      <c r="F592" s="10">
        <v>1</v>
      </c>
      <c r="G592" s="7">
        <v>118</v>
      </c>
      <c r="H592" s="7">
        <v>118</v>
      </c>
      <c r="I592" s="1" t="str">
        <f>HYPERLINK("http://slimages.macys.com/is/image/MCY/8802614 ")</f>
        <v xml:space="preserve">http://slimages.macys.com/is/image/MCY/8802614 </v>
      </c>
    </row>
    <row r="593" spans="1:9" x14ac:dyDescent="0.2">
      <c r="A593" s="3">
        <v>11322629</v>
      </c>
      <c r="B593" s="3">
        <v>711640587928</v>
      </c>
      <c r="C593" s="5" t="s">
        <v>680</v>
      </c>
      <c r="D593" s="4" t="s">
        <v>98</v>
      </c>
      <c r="E593" s="6" t="s">
        <v>82</v>
      </c>
      <c r="F593" s="10">
        <v>1</v>
      </c>
      <c r="G593" s="7">
        <v>111.75</v>
      </c>
      <c r="H593" s="7">
        <v>111.75</v>
      </c>
      <c r="I593" s="1" t="str">
        <f>HYPERLINK("http://slimages.macys.com/is/image/MCY/9284220 ")</f>
        <v xml:space="preserve">http://slimages.macys.com/is/image/MCY/9284220 </v>
      </c>
    </row>
    <row r="594" spans="1:9" x14ac:dyDescent="0.2">
      <c r="A594" s="3">
        <v>11322629</v>
      </c>
      <c r="B594" s="3">
        <v>711640587911</v>
      </c>
      <c r="C594" s="5" t="s">
        <v>681</v>
      </c>
      <c r="D594" s="4" t="s">
        <v>636</v>
      </c>
      <c r="E594" s="6" t="s">
        <v>82</v>
      </c>
      <c r="F594" s="10">
        <v>1</v>
      </c>
      <c r="G594" s="7">
        <v>111.75</v>
      </c>
      <c r="H594" s="7">
        <v>111.75</v>
      </c>
      <c r="I594" s="1" t="str">
        <f>HYPERLINK("http://slimages.macys.com/is/image/MCY/9284220 ")</f>
        <v xml:space="preserve">http://slimages.macys.com/is/image/MCY/9284220 </v>
      </c>
    </row>
    <row r="595" spans="1:9" x14ac:dyDescent="0.2">
      <c r="A595" s="3">
        <v>11322629</v>
      </c>
      <c r="B595" s="3">
        <v>711640587942</v>
      </c>
      <c r="C595" s="5" t="s">
        <v>180</v>
      </c>
      <c r="D595" s="4" t="s">
        <v>98</v>
      </c>
      <c r="E595" s="6" t="s">
        <v>82</v>
      </c>
      <c r="F595" s="10">
        <v>1</v>
      </c>
      <c r="G595" s="7">
        <v>111.75</v>
      </c>
      <c r="H595" s="7">
        <v>111.75</v>
      </c>
      <c r="I595" s="1" t="str">
        <f>HYPERLINK("http://slimages.macys.com/is/image/MCY/9242661 ")</f>
        <v xml:space="preserve">http://slimages.macys.com/is/image/MCY/9242661 </v>
      </c>
    </row>
    <row r="596" spans="1:9" x14ac:dyDescent="0.2">
      <c r="A596" s="3">
        <v>11322629</v>
      </c>
      <c r="B596" s="3">
        <v>886003486856</v>
      </c>
      <c r="C596" s="5" t="s">
        <v>682</v>
      </c>
      <c r="D596" s="4" t="s">
        <v>89</v>
      </c>
      <c r="E596" s="6" t="s">
        <v>82</v>
      </c>
      <c r="F596" s="10">
        <v>1</v>
      </c>
      <c r="G596" s="7">
        <v>108</v>
      </c>
      <c r="H596" s="7">
        <v>108</v>
      </c>
      <c r="I596" s="1" t="str">
        <f>HYPERLINK("http://slimages.macys.com/is/image/MCY/9405751 ")</f>
        <v xml:space="preserve">http://slimages.macys.com/is/image/MCY/9405751 </v>
      </c>
    </row>
    <row r="597" spans="1:9" x14ac:dyDescent="0.2">
      <c r="A597" s="3">
        <v>11322629</v>
      </c>
      <c r="B597" s="3">
        <v>889487245391</v>
      </c>
      <c r="C597" s="5" t="s">
        <v>683</v>
      </c>
      <c r="D597" s="4" t="s">
        <v>135</v>
      </c>
      <c r="E597" s="6" t="s">
        <v>85</v>
      </c>
      <c r="F597" s="10">
        <v>1</v>
      </c>
      <c r="G597" s="7">
        <v>108</v>
      </c>
      <c r="H597" s="7">
        <v>108</v>
      </c>
      <c r="I597" s="1" t="str">
        <f>HYPERLINK("http://slimages.macys.com/is/image/MCY/8793421 ")</f>
        <v xml:space="preserve">http://slimages.macys.com/is/image/MCY/8793421 </v>
      </c>
    </row>
    <row r="598" spans="1:9" x14ac:dyDescent="0.2">
      <c r="A598" s="3">
        <v>11322629</v>
      </c>
      <c r="B598" s="3">
        <v>5025546387120</v>
      </c>
      <c r="C598" s="5" t="s">
        <v>531</v>
      </c>
      <c r="D598" s="4"/>
      <c r="E598" s="6" t="s">
        <v>185</v>
      </c>
      <c r="F598" s="10">
        <v>1</v>
      </c>
      <c r="G598" s="7">
        <v>105</v>
      </c>
      <c r="H598" s="7">
        <v>105</v>
      </c>
      <c r="I598" s="1" t="str">
        <f>HYPERLINK("http://slimages.macys.com/is/image/MCY/8761625 ")</f>
        <v xml:space="preserve">http://slimages.macys.com/is/image/MCY/8761625 </v>
      </c>
    </row>
    <row r="599" spans="1:9" x14ac:dyDescent="0.2">
      <c r="A599" s="3">
        <v>11322629</v>
      </c>
      <c r="B599" s="3">
        <v>190231090076</v>
      </c>
      <c r="C599" s="5" t="s">
        <v>684</v>
      </c>
      <c r="D599" s="4" t="s">
        <v>81</v>
      </c>
      <c r="E599" s="6" t="s">
        <v>85</v>
      </c>
      <c r="F599" s="10">
        <v>1</v>
      </c>
      <c r="G599" s="7">
        <v>98</v>
      </c>
      <c r="H599" s="7">
        <v>98</v>
      </c>
      <c r="I599" s="1" t="str">
        <f>HYPERLINK("http://slimages.macys.com/is/image/MCY/9014388 ")</f>
        <v xml:space="preserve">http://slimages.macys.com/is/image/MCY/9014388 </v>
      </c>
    </row>
    <row r="600" spans="1:9" x14ac:dyDescent="0.2">
      <c r="A600" s="3">
        <v>11322629</v>
      </c>
      <c r="B600" s="3">
        <v>191797803032</v>
      </c>
      <c r="C600" s="5" t="s">
        <v>685</v>
      </c>
      <c r="D600" s="4" t="s">
        <v>125</v>
      </c>
      <c r="E600" s="6" t="s">
        <v>85</v>
      </c>
      <c r="F600" s="10">
        <v>1</v>
      </c>
      <c r="G600" s="7">
        <v>98</v>
      </c>
      <c r="H600" s="7">
        <v>98</v>
      </c>
      <c r="I600" s="1" t="str">
        <f>HYPERLINK("http://slimages.macys.com/is/image/MCY/9730353 ")</f>
        <v xml:space="preserve">http://slimages.macys.com/is/image/MCY/9730353 </v>
      </c>
    </row>
    <row r="601" spans="1:9" x14ac:dyDescent="0.2">
      <c r="A601" s="3">
        <v>11322629</v>
      </c>
      <c r="B601" s="3">
        <v>889487383567</v>
      </c>
      <c r="C601" s="5" t="s">
        <v>686</v>
      </c>
      <c r="D601" s="4" t="s">
        <v>135</v>
      </c>
      <c r="E601" s="6" t="s">
        <v>85</v>
      </c>
      <c r="F601" s="10">
        <v>1</v>
      </c>
      <c r="G601" s="7">
        <v>98</v>
      </c>
      <c r="H601" s="7">
        <v>98</v>
      </c>
      <c r="I601" s="1" t="str">
        <f>HYPERLINK("http://slimages.macys.com/is/image/MCY/9732206 ")</f>
        <v xml:space="preserve">http://slimages.macys.com/is/image/MCY/9732206 </v>
      </c>
    </row>
    <row r="602" spans="1:9" x14ac:dyDescent="0.2">
      <c r="A602" s="3">
        <v>11322629</v>
      </c>
      <c r="B602" s="3">
        <v>889487260158</v>
      </c>
      <c r="C602" s="5" t="s">
        <v>687</v>
      </c>
      <c r="D602" s="4" t="s">
        <v>81</v>
      </c>
      <c r="E602" s="6" t="s">
        <v>85</v>
      </c>
      <c r="F602" s="10">
        <v>1</v>
      </c>
      <c r="G602" s="7">
        <v>98</v>
      </c>
      <c r="H602" s="7">
        <v>98</v>
      </c>
      <c r="I602" s="1" t="str">
        <f>HYPERLINK("http://slimages.macys.com/is/image/MCY/8792085 ")</f>
        <v xml:space="preserve">http://slimages.macys.com/is/image/MCY/8792085 </v>
      </c>
    </row>
    <row r="603" spans="1:9" x14ac:dyDescent="0.2">
      <c r="A603" s="3">
        <v>11322629</v>
      </c>
      <c r="B603" s="3">
        <v>889487301813</v>
      </c>
      <c r="C603" s="5" t="s">
        <v>533</v>
      </c>
      <c r="D603" s="4" t="s">
        <v>360</v>
      </c>
      <c r="E603" s="6" t="s">
        <v>85</v>
      </c>
      <c r="F603" s="10">
        <v>1</v>
      </c>
      <c r="G603" s="7">
        <v>98</v>
      </c>
      <c r="H603" s="7">
        <v>98</v>
      </c>
      <c r="I603" s="1" t="str">
        <f>HYPERLINK("http://slimages.macys.com/is/image/MCY/8869459 ")</f>
        <v xml:space="preserve">http://slimages.macys.com/is/image/MCY/8869459 </v>
      </c>
    </row>
    <row r="604" spans="1:9" x14ac:dyDescent="0.2">
      <c r="A604" s="3">
        <v>11322629</v>
      </c>
      <c r="B604" s="3">
        <v>887986068534</v>
      </c>
      <c r="C604" s="5" t="s">
        <v>688</v>
      </c>
      <c r="D604" s="4" t="s">
        <v>105</v>
      </c>
      <c r="E604" s="6" t="s">
        <v>85</v>
      </c>
      <c r="F604" s="10">
        <v>3</v>
      </c>
      <c r="G604" s="7">
        <v>89</v>
      </c>
      <c r="H604" s="7">
        <v>267</v>
      </c>
      <c r="I604" s="1" t="str">
        <f>HYPERLINK("http://slimages.macys.com/is/image/MCY/8347717 ")</f>
        <v xml:space="preserve">http://slimages.macys.com/is/image/MCY/8347717 </v>
      </c>
    </row>
    <row r="605" spans="1:9" x14ac:dyDescent="0.2">
      <c r="A605" s="3">
        <v>11322629</v>
      </c>
      <c r="B605" s="3">
        <v>882256298734</v>
      </c>
      <c r="C605" s="5" t="s">
        <v>689</v>
      </c>
      <c r="D605" s="4" t="s">
        <v>129</v>
      </c>
      <c r="E605" s="6" t="s">
        <v>85</v>
      </c>
      <c r="F605" s="10">
        <v>1</v>
      </c>
      <c r="G605" s="7">
        <v>89</v>
      </c>
      <c r="H605" s="7">
        <v>89</v>
      </c>
      <c r="I605" s="1" t="str">
        <f>HYPERLINK("http://slimages.macys.com/is/image/MCY/3607011 ")</f>
        <v xml:space="preserve">http://slimages.macys.com/is/image/MCY/3607011 </v>
      </c>
    </row>
    <row r="606" spans="1:9" x14ac:dyDescent="0.2">
      <c r="A606" s="3">
        <v>11322629</v>
      </c>
      <c r="B606" s="3">
        <v>886003365809</v>
      </c>
      <c r="C606" s="5" t="s">
        <v>690</v>
      </c>
      <c r="D606" s="4" t="s">
        <v>691</v>
      </c>
      <c r="E606" s="6" t="s">
        <v>82</v>
      </c>
      <c r="F606" s="10">
        <v>1</v>
      </c>
      <c r="G606" s="7">
        <v>88</v>
      </c>
      <c r="H606" s="7">
        <v>88</v>
      </c>
      <c r="I606" s="1" t="str">
        <f>HYPERLINK("http://slimages.macys.com/is/image/MCY/3813393 ")</f>
        <v xml:space="preserve">http://slimages.macys.com/is/image/MCY/3813393 </v>
      </c>
    </row>
    <row r="607" spans="1:9" x14ac:dyDescent="0.2">
      <c r="A607" s="3">
        <v>11322629</v>
      </c>
      <c r="B607" s="3">
        <v>889487355786</v>
      </c>
      <c r="C607" s="5" t="s">
        <v>692</v>
      </c>
      <c r="D607" s="4" t="s">
        <v>100</v>
      </c>
      <c r="E607" s="6" t="s">
        <v>85</v>
      </c>
      <c r="F607" s="10">
        <v>2</v>
      </c>
      <c r="G607" s="7">
        <v>88</v>
      </c>
      <c r="H607" s="7">
        <v>176</v>
      </c>
      <c r="I607" s="1" t="str">
        <f>HYPERLINK("http://slimages.macys.com/is/image/MCY/9330158 ")</f>
        <v xml:space="preserve">http://slimages.macys.com/is/image/MCY/9330158 </v>
      </c>
    </row>
    <row r="608" spans="1:9" x14ac:dyDescent="0.2">
      <c r="A608" s="3">
        <v>11322629</v>
      </c>
      <c r="B608" s="3">
        <v>889487310495</v>
      </c>
      <c r="C608" s="5" t="s">
        <v>693</v>
      </c>
      <c r="D608" s="4" t="s">
        <v>205</v>
      </c>
      <c r="E608" s="6" t="s">
        <v>85</v>
      </c>
      <c r="F608" s="10">
        <v>1</v>
      </c>
      <c r="G608" s="7">
        <v>88</v>
      </c>
      <c r="H608" s="7">
        <v>88</v>
      </c>
      <c r="I608" s="1" t="str">
        <f>HYPERLINK("http://slimages.macys.com/is/image/MCY/9192307 ")</f>
        <v xml:space="preserve">http://slimages.macys.com/is/image/MCY/9192307 </v>
      </c>
    </row>
    <row r="609" spans="1:9" x14ac:dyDescent="0.2">
      <c r="A609" s="3">
        <v>11322629</v>
      </c>
      <c r="B609" s="3">
        <v>747542238491</v>
      </c>
      <c r="C609" s="5" t="s">
        <v>552</v>
      </c>
      <c r="D609" s="4" t="s">
        <v>81</v>
      </c>
      <c r="E609" s="6" t="s">
        <v>85</v>
      </c>
      <c r="F609" s="10">
        <v>1</v>
      </c>
      <c r="G609" s="7">
        <v>83.7</v>
      </c>
      <c r="H609" s="7">
        <v>83.7</v>
      </c>
      <c r="I609" s="1" t="str">
        <f>HYPERLINK("http://slimages.macys.com/is/image/MCY/8846075 ")</f>
        <v xml:space="preserve">http://slimages.macys.com/is/image/MCY/8846075 </v>
      </c>
    </row>
    <row r="610" spans="1:9" x14ac:dyDescent="0.2">
      <c r="A610" s="3">
        <v>11322629</v>
      </c>
      <c r="B610" s="3">
        <v>636189100776</v>
      </c>
      <c r="C610" s="5" t="s">
        <v>694</v>
      </c>
      <c r="D610" s="4" t="s">
        <v>402</v>
      </c>
      <c r="E610" s="6" t="s">
        <v>85</v>
      </c>
      <c r="F610" s="10">
        <v>1</v>
      </c>
      <c r="G610" s="7">
        <v>79.5</v>
      </c>
      <c r="H610" s="7">
        <v>79.5</v>
      </c>
      <c r="I610" s="1" t="str">
        <f>HYPERLINK("http://slimages.macys.com/is/image/MCY/9648853 ")</f>
        <v xml:space="preserve">http://slimages.macys.com/is/image/MCY/9648853 </v>
      </c>
    </row>
    <row r="611" spans="1:9" x14ac:dyDescent="0.2">
      <c r="A611" s="3">
        <v>11322629</v>
      </c>
      <c r="B611" s="3">
        <v>77979497841</v>
      </c>
      <c r="C611" s="5" t="s">
        <v>695</v>
      </c>
      <c r="D611" s="4" t="s">
        <v>81</v>
      </c>
      <c r="E611" s="6" t="s">
        <v>85</v>
      </c>
      <c r="F611" s="10">
        <v>1</v>
      </c>
      <c r="G611" s="7">
        <v>79.5</v>
      </c>
      <c r="H611" s="7">
        <v>79.5</v>
      </c>
      <c r="I611" s="1" t="str">
        <f>HYPERLINK("http://slimages.macys.com/is/image/MCY/8609997 ")</f>
        <v xml:space="preserve">http://slimages.macys.com/is/image/MCY/8609997 </v>
      </c>
    </row>
    <row r="612" spans="1:9" x14ac:dyDescent="0.2">
      <c r="A612" s="3">
        <v>11322629</v>
      </c>
      <c r="B612" s="3">
        <v>77979497889</v>
      </c>
      <c r="C612" s="5" t="s">
        <v>696</v>
      </c>
      <c r="D612" s="4" t="s">
        <v>81</v>
      </c>
      <c r="E612" s="6" t="s">
        <v>85</v>
      </c>
      <c r="F612" s="10">
        <v>1</v>
      </c>
      <c r="G612" s="7">
        <v>79.5</v>
      </c>
      <c r="H612" s="7">
        <v>79.5</v>
      </c>
      <c r="I612" s="1" t="str">
        <f>HYPERLINK("http://slimages.macys.com/is/image/MCY/8727121 ")</f>
        <v xml:space="preserve">http://slimages.macys.com/is/image/MCY/8727121 </v>
      </c>
    </row>
    <row r="613" spans="1:9" x14ac:dyDescent="0.2">
      <c r="A613" s="3">
        <v>11322629</v>
      </c>
      <c r="B613" s="3">
        <v>889487265078</v>
      </c>
      <c r="C613" s="5" t="s">
        <v>697</v>
      </c>
      <c r="D613" s="4" t="s">
        <v>194</v>
      </c>
      <c r="E613" s="6" t="s">
        <v>85</v>
      </c>
      <c r="F613" s="10">
        <v>1</v>
      </c>
      <c r="G613" s="7">
        <v>78</v>
      </c>
      <c r="H613" s="7">
        <v>78</v>
      </c>
      <c r="I613" s="1" t="str">
        <f>HYPERLINK("http://slimages.macys.com/is/image/MCY/8802738 ")</f>
        <v xml:space="preserve">http://slimages.macys.com/is/image/MCY/8802738 </v>
      </c>
    </row>
    <row r="614" spans="1:9" x14ac:dyDescent="0.2">
      <c r="A614" s="3">
        <v>11322629</v>
      </c>
      <c r="B614" s="3">
        <v>889487297604</v>
      </c>
      <c r="C614" s="5" t="s">
        <v>698</v>
      </c>
      <c r="D614" s="4" t="s">
        <v>172</v>
      </c>
      <c r="E614" s="6" t="s">
        <v>85</v>
      </c>
      <c r="F614" s="10">
        <v>1</v>
      </c>
      <c r="G614" s="7">
        <v>78</v>
      </c>
      <c r="H614" s="7">
        <v>78</v>
      </c>
      <c r="I614" s="1" t="str">
        <f>HYPERLINK("http://slimages.macys.com/is/image/MCY/9061555 ")</f>
        <v xml:space="preserve">http://slimages.macys.com/is/image/MCY/9061555 </v>
      </c>
    </row>
    <row r="615" spans="1:9" x14ac:dyDescent="0.2">
      <c r="A615" s="3">
        <v>11322629</v>
      </c>
      <c r="B615" s="3">
        <v>889487236641</v>
      </c>
      <c r="C615" s="5" t="s">
        <v>699</v>
      </c>
      <c r="D615" s="4" t="s">
        <v>135</v>
      </c>
      <c r="E615" s="6" t="s">
        <v>85</v>
      </c>
      <c r="F615" s="10">
        <v>2</v>
      </c>
      <c r="G615" s="7">
        <v>78</v>
      </c>
      <c r="H615" s="7">
        <v>156</v>
      </c>
      <c r="I615" s="1" t="str">
        <f>HYPERLINK("http://slimages.macys.com/is/image/MCY/8803712 ")</f>
        <v xml:space="preserve">http://slimages.macys.com/is/image/MCY/8803712 </v>
      </c>
    </row>
    <row r="616" spans="1:9" x14ac:dyDescent="0.2">
      <c r="A616" s="3">
        <v>11322629</v>
      </c>
      <c r="B616" s="3">
        <v>5025546385911</v>
      </c>
      <c r="C616" s="5" t="s">
        <v>700</v>
      </c>
      <c r="D616" s="4" t="s">
        <v>94</v>
      </c>
      <c r="E616" s="6"/>
      <c r="F616" s="10">
        <v>1</v>
      </c>
      <c r="G616" s="7">
        <v>78</v>
      </c>
      <c r="H616" s="7">
        <v>78</v>
      </c>
      <c r="I616" s="1" t="str">
        <f>HYPERLINK("http://slimages.macys.com/is/image/MCY/9004739 ")</f>
        <v xml:space="preserve">http://slimages.macys.com/is/image/MCY/9004739 </v>
      </c>
    </row>
    <row r="617" spans="1:9" x14ac:dyDescent="0.2">
      <c r="A617" s="3">
        <v>11322629</v>
      </c>
      <c r="B617" s="3">
        <v>745021224638</v>
      </c>
      <c r="C617" s="5" t="s">
        <v>701</v>
      </c>
      <c r="D617" s="4" t="s">
        <v>115</v>
      </c>
      <c r="E617" s="6" t="s">
        <v>85</v>
      </c>
      <c r="F617" s="10">
        <v>1</v>
      </c>
      <c r="G617" s="7">
        <v>77</v>
      </c>
      <c r="H617" s="7">
        <v>77</v>
      </c>
      <c r="I617" s="1" t="str">
        <f>HYPERLINK("http://slimages.macys.com/is/image/MCY/9595767 ")</f>
        <v xml:space="preserve">http://slimages.macys.com/is/image/MCY/9595767 </v>
      </c>
    </row>
    <row r="618" spans="1:9" x14ac:dyDescent="0.2">
      <c r="A618" s="3">
        <v>11322629</v>
      </c>
      <c r="B618" s="3">
        <v>711640593639</v>
      </c>
      <c r="C618" s="5" t="s">
        <v>227</v>
      </c>
      <c r="D618" s="4" t="s">
        <v>94</v>
      </c>
      <c r="E618" s="6" t="s">
        <v>82</v>
      </c>
      <c r="F618" s="10">
        <v>2</v>
      </c>
      <c r="G618" s="7">
        <v>74.25</v>
      </c>
      <c r="H618" s="7">
        <v>148.5</v>
      </c>
      <c r="I618" s="1" t="str">
        <f>HYPERLINK("http://slimages.macys.com/is/image/MCY/9728744 ")</f>
        <v xml:space="preserve">http://slimages.macys.com/is/image/MCY/9728744 </v>
      </c>
    </row>
    <row r="619" spans="1:9" x14ac:dyDescent="0.2">
      <c r="A619" s="3">
        <v>11322629</v>
      </c>
      <c r="B619" s="3">
        <v>711640593653</v>
      </c>
      <c r="C619" s="5" t="s">
        <v>425</v>
      </c>
      <c r="D619" s="4" t="s">
        <v>103</v>
      </c>
      <c r="E619" s="6" t="s">
        <v>82</v>
      </c>
      <c r="F619" s="10">
        <v>5</v>
      </c>
      <c r="G619" s="7">
        <v>74.25</v>
      </c>
      <c r="H619" s="7">
        <v>371.25</v>
      </c>
      <c r="I619" s="1" t="str">
        <f>HYPERLINK("http://slimages.macys.com/is/image/MCY/9728744 ")</f>
        <v xml:space="preserve">http://slimages.macys.com/is/image/MCY/9728744 </v>
      </c>
    </row>
    <row r="620" spans="1:9" x14ac:dyDescent="0.2">
      <c r="A620" s="3">
        <v>11322629</v>
      </c>
      <c r="B620" s="3">
        <v>711640566534</v>
      </c>
      <c r="C620" s="5" t="s">
        <v>226</v>
      </c>
      <c r="D620" s="4" t="s">
        <v>103</v>
      </c>
      <c r="E620" s="6" t="s">
        <v>82</v>
      </c>
      <c r="F620" s="10">
        <v>2</v>
      </c>
      <c r="G620" s="7">
        <v>74.25</v>
      </c>
      <c r="H620" s="7">
        <v>148.5</v>
      </c>
      <c r="I620" s="1" t="str">
        <f>HYPERLINK("http://slimages.macys.com/is/image/MCY/9432396 ")</f>
        <v xml:space="preserve">http://slimages.macys.com/is/image/MCY/9432396 </v>
      </c>
    </row>
    <row r="621" spans="1:9" x14ac:dyDescent="0.2">
      <c r="A621" s="3">
        <v>11322629</v>
      </c>
      <c r="B621" s="3">
        <v>745021907784</v>
      </c>
      <c r="C621" s="5" t="s">
        <v>702</v>
      </c>
      <c r="D621" s="4" t="s">
        <v>238</v>
      </c>
      <c r="E621" s="6" t="s">
        <v>85</v>
      </c>
      <c r="F621" s="10">
        <v>1</v>
      </c>
      <c r="G621" s="7">
        <v>69.22</v>
      </c>
      <c r="H621" s="7">
        <v>69.22</v>
      </c>
      <c r="I621" s="1" t="str">
        <f>HYPERLINK("http://slimages.macys.com/is/image/MCY/9789544 ")</f>
        <v xml:space="preserve">http://slimages.macys.com/is/image/MCY/9789544 </v>
      </c>
    </row>
    <row r="622" spans="1:9" x14ac:dyDescent="0.2">
      <c r="A622" s="3">
        <v>11322629</v>
      </c>
      <c r="B622" s="3">
        <v>887986103006</v>
      </c>
      <c r="C622" s="5" t="s">
        <v>703</v>
      </c>
      <c r="D622" s="4"/>
      <c r="E622" s="6" t="s">
        <v>85</v>
      </c>
      <c r="F622" s="10">
        <v>1</v>
      </c>
      <c r="G622" s="7">
        <v>69</v>
      </c>
      <c r="H622" s="7">
        <v>69</v>
      </c>
      <c r="I622" s="1" t="str">
        <f>HYPERLINK("http://slimages.macys.com/is/image/MCY/1922907 ")</f>
        <v xml:space="preserve">http://slimages.macys.com/is/image/MCY/1922907 </v>
      </c>
    </row>
    <row r="623" spans="1:9" x14ac:dyDescent="0.2">
      <c r="A623" s="3">
        <v>11322629</v>
      </c>
      <c r="B623" s="3">
        <v>882256360233</v>
      </c>
      <c r="C623" s="5" t="s">
        <v>704</v>
      </c>
      <c r="D623" s="4" t="s">
        <v>398</v>
      </c>
      <c r="E623" s="6" t="s">
        <v>85</v>
      </c>
      <c r="F623" s="10">
        <v>1</v>
      </c>
      <c r="G623" s="7">
        <v>69</v>
      </c>
      <c r="H623" s="7">
        <v>69</v>
      </c>
      <c r="I623" s="1" t="str">
        <f>HYPERLINK("http://slimages.macys.com/is/image/MCY/9759030 ")</f>
        <v xml:space="preserve">http://slimages.macys.com/is/image/MCY/9759030 </v>
      </c>
    </row>
    <row r="624" spans="1:9" x14ac:dyDescent="0.2">
      <c r="A624" s="3">
        <v>11322629</v>
      </c>
      <c r="B624" s="3">
        <v>886003443767</v>
      </c>
      <c r="C624" s="5" t="s">
        <v>705</v>
      </c>
      <c r="D624" s="4" t="s">
        <v>87</v>
      </c>
      <c r="E624" s="6" t="s">
        <v>82</v>
      </c>
      <c r="F624" s="10">
        <v>3</v>
      </c>
      <c r="G624" s="7">
        <v>68</v>
      </c>
      <c r="H624" s="7">
        <v>204</v>
      </c>
      <c r="I624" s="1" t="str">
        <f>HYPERLINK("http://slimages.macys.com/is/image/MCY/8443896 ")</f>
        <v xml:space="preserve">http://slimages.macys.com/is/image/MCY/8443896 </v>
      </c>
    </row>
    <row r="625" spans="1:9" x14ac:dyDescent="0.2">
      <c r="A625" s="3">
        <v>11322629</v>
      </c>
      <c r="B625" s="3">
        <v>886003499153</v>
      </c>
      <c r="C625" s="5" t="s">
        <v>706</v>
      </c>
      <c r="D625" s="4" t="s">
        <v>289</v>
      </c>
      <c r="E625" s="6" t="s">
        <v>82</v>
      </c>
      <c r="F625" s="10">
        <v>1</v>
      </c>
      <c r="G625" s="7">
        <v>68</v>
      </c>
      <c r="H625" s="7">
        <v>68</v>
      </c>
      <c r="I625" s="1" t="str">
        <f>HYPERLINK("http://slimages.macys.com/is/image/MCY/8763813 ")</f>
        <v xml:space="preserve">http://slimages.macys.com/is/image/MCY/8763813 </v>
      </c>
    </row>
    <row r="626" spans="1:9" x14ac:dyDescent="0.2">
      <c r="A626" s="3">
        <v>11322629</v>
      </c>
      <c r="B626" s="3">
        <v>747542241309</v>
      </c>
      <c r="C626" s="5" t="s">
        <v>707</v>
      </c>
      <c r="D626" s="4" t="s">
        <v>327</v>
      </c>
      <c r="E626" s="6" t="s">
        <v>85</v>
      </c>
      <c r="F626" s="10">
        <v>1</v>
      </c>
      <c r="G626" s="7">
        <v>67.58</v>
      </c>
      <c r="H626" s="7">
        <v>67.58</v>
      </c>
      <c r="I626" s="1" t="str">
        <f>HYPERLINK("http://slimages.macys.com/is/image/MCY/9238130 ")</f>
        <v xml:space="preserve">http://slimages.macys.com/is/image/MCY/9238130 </v>
      </c>
    </row>
    <row r="627" spans="1:9" x14ac:dyDescent="0.2">
      <c r="A627" s="3">
        <v>11322629</v>
      </c>
      <c r="B627" s="3">
        <v>711640566329</v>
      </c>
      <c r="C627" s="5" t="s">
        <v>708</v>
      </c>
      <c r="D627" s="4" t="s">
        <v>100</v>
      </c>
      <c r="E627" s="6" t="s">
        <v>82</v>
      </c>
      <c r="F627" s="10">
        <v>1</v>
      </c>
      <c r="G627" s="7">
        <v>66.75</v>
      </c>
      <c r="H627" s="7">
        <v>66.75</v>
      </c>
      <c r="I627" s="1" t="str">
        <f>HYPERLINK("http://slimages.macys.com/is/image/MCY/9516405 ")</f>
        <v xml:space="preserve">http://slimages.macys.com/is/image/MCY/9516405 </v>
      </c>
    </row>
    <row r="628" spans="1:9" x14ac:dyDescent="0.2">
      <c r="A628" s="3">
        <v>11322629</v>
      </c>
      <c r="B628" s="3">
        <v>814439025059</v>
      </c>
      <c r="C628" s="5" t="s">
        <v>709</v>
      </c>
      <c r="D628" s="4" t="s">
        <v>81</v>
      </c>
      <c r="E628" s="6" t="s">
        <v>85</v>
      </c>
      <c r="F628" s="10">
        <v>1</v>
      </c>
      <c r="G628" s="7">
        <v>59.5</v>
      </c>
      <c r="H628" s="7">
        <v>59.5</v>
      </c>
      <c r="I628" s="1" t="str">
        <f>HYPERLINK("http://slimages.macys.com/is/image/MCY/9363743 ")</f>
        <v xml:space="preserve">http://slimages.macys.com/is/image/MCY/9363743 </v>
      </c>
    </row>
    <row r="629" spans="1:9" x14ac:dyDescent="0.2">
      <c r="A629" s="3">
        <v>11322629</v>
      </c>
      <c r="B629" s="3">
        <v>711640583173</v>
      </c>
      <c r="C629" s="5" t="s">
        <v>710</v>
      </c>
      <c r="D629" s="4" t="s">
        <v>611</v>
      </c>
      <c r="E629" s="6" t="s">
        <v>82</v>
      </c>
      <c r="F629" s="10">
        <v>4</v>
      </c>
      <c r="G629" s="7">
        <v>59.25</v>
      </c>
      <c r="H629" s="7">
        <v>237</v>
      </c>
      <c r="I629" s="1" t="str">
        <f>HYPERLINK("http://slimages.macys.com/is/image/MCY/9121898 ")</f>
        <v xml:space="preserve">http://slimages.macys.com/is/image/MCY/9121898 </v>
      </c>
    </row>
    <row r="630" spans="1:9" x14ac:dyDescent="0.2">
      <c r="A630" s="3">
        <v>11322629</v>
      </c>
      <c r="B630" s="3">
        <v>711640595497</v>
      </c>
      <c r="C630" s="5" t="s">
        <v>439</v>
      </c>
      <c r="D630" s="4" t="s">
        <v>100</v>
      </c>
      <c r="E630" s="6" t="s">
        <v>82</v>
      </c>
      <c r="F630" s="10">
        <v>2</v>
      </c>
      <c r="G630" s="7">
        <v>59.25</v>
      </c>
      <c r="H630" s="7">
        <v>118.5</v>
      </c>
      <c r="I630" s="1" t="str">
        <f>HYPERLINK("http://slimages.macys.com/is/image/MCY/9504476 ")</f>
        <v xml:space="preserve">http://slimages.macys.com/is/image/MCY/9504476 </v>
      </c>
    </row>
    <row r="631" spans="1:9" x14ac:dyDescent="0.2">
      <c r="A631" s="3">
        <v>11322629</v>
      </c>
      <c r="B631" s="3">
        <v>711640595459</v>
      </c>
      <c r="C631" s="5" t="s">
        <v>249</v>
      </c>
      <c r="D631" s="4" t="s">
        <v>100</v>
      </c>
      <c r="E631" s="6" t="s">
        <v>82</v>
      </c>
      <c r="F631" s="10">
        <v>3</v>
      </c>
      <c r="G631" s="7">
        <v>59.25</v>
      </c>
      <c r="H631" s="7">
        <v>177.75</v>
      </c>
      <c r="I631" s="1" t="str">
        <f>HYPERLINK("http://slimages.macys.com/is/image/MCY/9504164 ")</f>
        <v xml:space="preserve">http://slimages.macys.com/is/image/MCY/9504164 </v>
      </c>
    </row>
    <row r="632" spans="1:9" x14ac:dyDescent="0.2">
      <c r="A632" s="3">
        <v>11322629</v>
      </c>
      <c r="B632" s="3">
        <v>711640598757</v>
      </c>
      <c r="C632" s="5" t="s">
        <v>247</v>
      </c>
      <c r="D632" s="4" t="s">
        <v>135</v>
      </c>
      <c r="E632" s="6" t="s">
        <v>82</v>
      </c>
      <c r="F632" s="10">
        <v>3</v>
      </c>
      <c r="G632" s="7">
        <v>59.25</v>
      </c>
      <c r="H632" s="7">
        <v>177.75</v>
      </c>
      <c r="I632" s="1" t="str">
        <f>HYPERLINK("http://slimages.macys.com/is/image/MCY/9631220 ")</f>
        <v xml:space="preserve">http://slimages.macys.com/is/image/MCY/9631220 </v>
      </c>
    </row>
    <row r="633" spans="1:9" x14ac:dyDescent="0.2">
      <c r="A633" s="3">
        <v>11322629</v>
      </c>
      <c r="B633" s="3">
        <v>711640595510</v>
      </c>
      <c r="C633" s="5" t="s">
        <v>251</v>
      </c>
      <c r="D633" s="4" t="s">
        <v>103</v>
      </c>
      <c r="E633" s="6" t="s">
        <v>82</v>
      </c>
      <c r="F633" s="10">
        <v>6</v>
      </c>
      <c r="G633" s="7">
        <v>59.25</v>
      </c>
      <c r="H633" s="7">
        <v>355.5</v>
      </c>
      <c r="I633" s="1" t="str">
        <f>HYPERLINK("http://slimages.macys.com/is/image/MCY/9504476 ")</f>
        <v xml:space="preserve">http://slimages.macys.com/is/image/MCY/9504476 </v>
      </c>
    </row>
    <row r="634" spans="1:9" x14ac:dyDescent="0.2">
      <c r="A634" s="3">
        <v>11322629</v>
      </c>
      <c r="B634" s="3">
        <v>711640595473</v>
      </c>
      <c r="C634" s="5" t="s">
        <v>246</v>
      </c>
      <c r="D634" s="4" t="s">
        <v>103</v>
      </c>
      <c r="E634" s="6" t="s">
        <v>82</v>
      </c>
      <c r="F634" s="10">
        <v>4</v>
      </c>
      <c r="G634" s="7">
        <v>59.25</v>
      </c>
      <c r="H634" s="7">
        <v>237</v>
      </c>
      <c r="I634" s="1" t="str">
        <f>HYPERLINK("http://slimages.macys.com/is/image/MCY/9504164 ")</f>
        <v xml:space="preserve">http://slimages.macys.com/is/image/MCY/9504164 </v>
      </c>
    </row>
    <row r="635" spans="1:9" x14ac:dyDescent="0.2">
      <c r="A635" s="3">
        <v>11322629</v>
      </c>
      <c r="B635" s="3">
        <v>711640595633</v>
      </c>
      <c r="C635" s="5" t="s">
        <v>248</v>
      </c>
      <c r="D635" s="4" t="s">
        <v>235</v>
      </c>
      <c r="E635" s="6" t="s">
        <v>82</v>
      </c>
      <c r="F635" s="10">
        <v>5</v>
      </c>
      <c r="G635" s="7">
        <v>59.25</v>
      </c>
      <c r="H635" s="7">
        <v>296.25</v>
      </c>
      <c r="I635" s="1" t="str">
        <f>HYPERLINK("http://slimages.macys.com/is/image/MCY/9504164 ")</f>
        <v xml:space="preserve">http://slimages.macys.com/is/image/MCY/9504164 </v>
      </c>
    </row>
    <row r="636" spans="1:9" x14ac:dyDescent="0.2">
      <c r="A636" s="3">
        <v>11322629</v>
      </c>
      <c r="B636" s="3">
        <v>889487358947</v>
      </c>
      <c r="C636" s="5" t="s">
        <v>711</v>
      </c>
      <c r="D636" s="4" t="s">
        <v>138</v>
      </c>
      <c r="E636" s="6" t="s">
        <v>85</v>
      </c>
      <c r="F636" s="10">
        <v>1</v>
      </c>
      <c r="G636" s="7">
        <v>58</v>
      </c>
      <c r="H636" s="7">
        <v>58</v>
      </c>
      <c r="I636" s="1" t="str">
        <f>HYPERLINK("http://slimages.macys.com/is/image/MCY/9310538 ")</f>
        <v xml:space="preserve">http://slimages.macys.com/is/image/MCY/9310538 </v>
      </c>
    </row>
    <row r="637" spans="1:9" x14ac:dyDescent="0.2">
      <c r="A637" s="3">
        <v>11322629</v>
      </c>
      <c r="B637" s="3">
        <v>889487365679</v>
      </c>
      <c r="C637" s="5" t="s">
        <v>712</v>
      </c>
      <c r="D637" s="4" t="s">
        <v>100</v>
      </c>
      <c r="E637" s="6" t="s">
        <v>85</v>
      </c>
      <c r="F637" s="10">
        <v>1</v>
      </c>
      <c r="G637" s="7">
        <v>54</v>
      </c>
      <c r="H637" s="7">
        <v>54</v>
      </c>
      <c r="I637" s="1" t="str">
        <f>HYPERLINK("http://slimages.macys.com/is/image/MCY/9307252 ")</f>
        <v xml:space="preserve">http://slimages.macys.com/is/image/MCY/9307252 </v>
      </c>
    </row>
    <row r="638" spans="1:9" x14ac:dyDescent="0.2">
      <c r="A638" s="3">
        <v>11322629</v>
      </c>
      <c r="B638" s="3">
        <v>77979412899</v>
      </c>
      <c r="C638" s="5" t="s">
        <v>713</v>
      </c>
      <c r="D638" s="4" t="s">
        <v>355</v>
      </c>
      <c r="E638" s="6" t="s">
        <v>82</v>
      </c>
      <c r="F638" s="10">
        <v>1</v>
      </c>
      <c r="G638" s="7">
        <v>53.7</v>
      </c>
      <c r="H638" s="7">
        <v>53.7</v>
      </c>
      <c r="I638" s="1" t="str">
        <f>HYPERLINK("http://slimages.macys.com/is/image/MCY/3581142 ")</f>
        <v xml:space="preserve">http://slimages.macys.com/is/image/MCY/3581142 </v>
      </c>
    </row>
    <row r="639" spans="1:9" x14ac:dyDescent="0.2">
      <c r="A639" s="3">
        <v>11322629</v>
      </c>
      <c r="B639" s="3">
        <v>887986093420</v>
      </c>
      <c r="C639" s="5" t="s">
        <v>714</v>
      </c>
      <c r="D639" s="4" t="s">
        <v>91</v>
      </c>
      <c r="E639" s="6" t="s">
        <v>85</v>
      </c>
      <c r="F639" s="10">
        <v>1</v>
      </c>
      <c r="G639" s="7">
        <v>49</v>
      </c>
      <c r="H639" s="7">
        <v>49</v>
      </c>
      <c r="I639" s="1" t="str">
        <f>HYPERLINK("http://slimages.macys.com/is/image/MCY/9052667 ")</f>
        <v xml:space="preserve">http://slimages.macys.com/is/image/MCY/9052667 </v>
      </c>
    </row>
    <row r="640" spans="1:9" x14ac:dyDescent="0.2">
      <c r="A640" s="3">
        <v>11322629</v>
      </c>
      <c r="B640" s="3">
        <v>882256193206</v>
      </c>
      <c r="C640" s="5" t="s">
        <v>445</v>
      </c>
      <c r="D640" s="4" t="s">
        <v>103</v>
      </c>
      <c r="E640" s="6" t="s">
        <v>85</v>
      </c>
      <c r="F640" s="10">
        <v>1</v>
      </c>
      <c r="G640" s="7">
        <v>49</v>
      </c>
      <c r="H640" s="7">
        <v>49</v>
      </c>
      <c r="I640" s="1" t="str">
        <f>HYPERLINK("http://slimages.macys.com/is/image/MCY/9602897 ")</f>
        <v xml:space="preserve">http://slimages.macys.com/is/image/MCY/9602897 </v>
      </c>
    </row>
    <row r="641" spans="1:9" x14ac:dyDescent="0.2">
      <c r="A641" s="3">
        <v>11322629</v>
      </c>
      <c r="B641" s="3">
        <v>853065007060</v>
      </c>
      <c r="C641" s="5" t="s">
        <v>715</v>
      </c>
      <c r="D641" s="4" t="s">
        <v>81</v>
      </c>
      <c r="E641" s="6" t="s">
        <v>82</v>
      </c>
      <c r="F641" s="10">
        <v>1</v>
      </c>
      <c r="G641" s="7">
        <v>48</v>
      </c>
      <c r="H641" s="7">
        <v>48</v>
      </c>
      <c r="I641" s="1" t="str">
        <f>HYPERLINK("http://slimages.macys.com/is/image/MCY/8192150 ")</f>
        <v xml:space="preserve">http://slimages.macys.com/is/image/MCY/8192150 </v>
      </c>
    </row>
    <row r="642" spans="1:9" x14ac:dyDescent="0.2">
      <c r="A642" s="3">
        <v>11322629</v>
      </c>
      <c r="B642" s="3">
        <v>191262183225</v>
      </c>
      <c r="C642" s="5" t="s">
        <v>716</v>
      </c>
      <c r="D642" s="4" t="s">
        <v>419</v>
      </c>
      <c r="E642" s="6" t="s">
        <v>82</v>
      </c>
      <c r="F642" s="10">
        <v>1</v>
      </c>
      <c r="G642" s="7">
        <v>48</v>
      </c>
      <c r="H642" s="7">
        <v>48</v>
      </c>
      <c r="I642" s="1" t="str">
        <f>HYPERLINK("http://slimages.macys.com/is/image/MCY/8842888 ")</f>
        <v xml:space="preserve">http://slimages.macys.com/is/image/MCY/8842888 </v>
      </c>
    </row>
    <row r="643" spans="1:9" x14ac:dyDescent="0.2">
      <c r="A643" s="3">
        <v>11322629</v>
      </c>
      <c r="B643" s="3">
        <v>190864501413</v>
      </c>
      <c r="C643" s="5" t="s">
        <v>717</v>
      </c>
      <c r="D643" s="4" t="s">
        <v>135</v>
      </c>
      <c r="E643" s="6" t="s">
        <v>82</v>
      </c>
      <c r="F643" s="10">
        <v>1</v>
      </c>
      <c r="G643" s="7">
        <v>48</v>
      </c>
      <c r="H643" s="7">
        <v>48</v>
      </c>
      <c r="I643" s="1" t="str">
        <f>HYPERLINK("http://slimages.macys.com/is/image/MCY/8842888 ")</f>
        <v xml:space="preserve">http://slimages.macys.com/is/image/MCY/8842888 </v>
      </c>
    </row>
    <row r="644" spans="1:9" x14ac:dyDescent="0.2">
      <c r="A644" s="3">
        <v>11322629</v>
      </c>
      <c r="B644" s="3">
        <v>191202471092</v>
      </c>
      <c r="C644" s="5" t="s">
        <v>576</v>
      </c>
      <c r="D644" s="4" t="s">
        <v>100</v>
      </c>
      <c r="E644" s="6" t="s">
        <v>82</v>
      </c>
      <c r="F644" s="10">
        <v>1</v>
      </c>
      <c r="G644" s="7">
        <v>45</v>
      </c>
      <c r="H644" s="7">
        <v>45</v>
      </c>
      <c r="I644" s="1" t="str">
        <f>HYPERLINK("http://slimages.macys.com/is/image/MCY/9433470 ")</f>
        <v xml:space="preserve">http://slimages.macys.com/is/image/MCY/9433470 </v>
      </c>
    </row>
    <row r="645" spans="1:9" x14ac:dyDescent="0.2">
      <c r="A645" s="3">
        <v>11322629</v>
      </c>
      <c r="B645" s="3">
        <v>98687196734</v>
      </c>
      <c r="C645" s="5" t="s">
        <v>718</v>
      </c>
      <c r="D645" s="4"/>
      <c r="E645" s="6" t="s">
        <v>85</v>
      </c>
      <c r="F645" s="10">
        <v>1</v>
      </c>
      <c r="G645" s="7">
        <v>45</v>
      </c>
      <c r="H645" s="7">
        <v>45</v>
      </c>
      <c r="I645" s="1" t="str">
        <f>HYPERLINK("http://slimages.macys.com/is/image/MCY/9511058 ")</f>
        <v xml:space="preserve">http://slimages.macys.com/is/image/MCY/9511058 </v>
      </c>
    </row>
    <row r="646" spans="1:9" x14ac:dyDescent="0.2">
      <c r="A646" s="3">
        <v>11322629</v>
      </c>
      <c r="B646" s="3">
        <v>191202621510</v>
      </c>
      <c r="C646" s="5" t="s">
        <v>719</v>
      </c>
      <c r="D646" s="4" t="s">
        <v>98</v>
      </c>
      <c r="E646" s="6" t="s">
        <v>82</v>
      </c>
      <c r="F646" s="10">
        <v>1</v>
      </c>
      <c r="G646" s="7">
        <v>40</v>
      </c>
      <c r="H646" s="7">
        <v>40</v>
      </c>
      <c r="I646" s="1" t="str">
        <f>HYPERLINK("http://slimages.macys.com/is/image/MCY/9416290 ")</f>
        <v xml:space="preserve">http://slimages.macys.com/is/image/MCY/9416290 </v>
      </c>
    </row>
    <row r="647" spans="1:9" x14ac:dyDescent="0.2">
      <c r="A647" s="3">
        <v>11322629</v>
      </c>
      <c r="B647" s="3">
        <v>51059787428</v>
      </c>
      <c r="C647" s="5" t="s">
        <v>720</v>
      </c>
      <c r="D647" s="4" t="s">
        <v>389</v>
      </c>
      <c r="E647" s="6" t="s">
        <v>85</v>
      </c>
      <c r="F647" s="10">
        <v>1</v>
      </c>
      <c r="G647" s="7">
        <v>38.5</v>
      </c>
      <c r="H647" s="7">
        <v>38.5</v>
      </c>
      <c r="I647" s="1" t="str">
        <f>HYPERLINK("http://slimages.macys.com/is/image/MCY/9308694 ")</f>
        <v xml:space="preserve">http://slimages.macys.com/is/image/MCY/9308694 </v>
      </c>
    </row>
    <row r="648" spans="1:9" x14ac:dyDescent="0.2">
      <c r="A648" s="3">
        <v>11322629</v>
      </c>
      <c r="B648" s="3">
        <v>51059787565</v>
      </c>
      <c r="C648" s="5" t="s">
        <v>721</v>
      </c>
      <c r="D648" s="4" t="s">
        <v>81</v>
      </c>
      <c r="E648" s="6" t="s">
        <v>85</v>
      </c>
      <c r="F648" s="10">
        <v>1</v>
      </c>
      <c r="G648" s="7">
        <v>38.5</v>
      </c>
      <c r="H648" s="7">
        <v>38.5</v>
      </c>
      <c r="I648" s="1" t="str">
        <f>HYPERLINK("http://slimages.macys.com/is/image/MCY/9221515 ")</f>
        <v xml:space="preserve">http://slimages.macys.com/is/image/MCY/9221515 </v>
      </c>
    </row>
    <row r="649" spans="1:9" x14ac:dyDescent="0.2">
      <c r="A649" s="3">
        <v>11322629</v>
      </c>
      <c r="B649" s="3">
        <v>732437828536</v>
      </c>
      <c r="C649" s="5" t="s">
        <v>722</v>
      </c>
      <c r="D649" s="4" t="s">
        <v>129</v>
      </c>
      <c r="E649" s="6" t="s">
        <v>85</v>
      </c>
      <c r="F649" s="10">
        <v>1</v>
      </c>
      <c r="G649" s="7">
        <v>38.11</v>
      </c>
      <c r="H649" s="7">
        <v>38.11</v>
      </c>
      <c r="I649" s="1" t="str">
        <f>HYPERLINK("http://slimages.macys.com/is/image/MCY/9289079 ")</f>
        <v xml:space="preserve">http://slimages.macys.com/is/image/MCY/9289079 </v>
      </c>
    </row>
    <row r="650" spans="1:9" x14ac:dyDescent="0.2">
      <c r="A650" s="3">
        <v>11322629</v>
      </c>
      <c r="B650" s="3">
        <v>887986089683</v>
      </c>
      <c r="C650" s="5" t="s">
        <v>723</v>
      </c>
      <c r="D650" s="4" t="s">
        <v>103</v>
      </c>
      <c r="E650" s="6" t="s">
        <v>85</v>
      </c>
      <c r="F650" s="10">
        <v>1</v>
      </c>
      <c r="G650" s="7">
        <v>38</v>
      </c>
      <c r="H650" s="7">
        <v>38</v>
      </c>
      <c r="I650" s="1" t="str">
        <f>HYPERLINK("http://slimages.macys.com/is/image/MCY/8837266 ")</f>
        <v xml:space="preserve">http://slimages.macys.com/is/image/MCY/8837266 </v>
      </c>
    </row>
    <row r="651" spans="1:9" x14ac:dyDescent="0.2">
      <c r="A651" s="3">
        <v>11322629</v>
      </c>
      <c r="B651" s="3">
        <v>886003454367</v>
      </c>
      <c r="C651" s="5" t="s">
        <v>724</v>
      </c>
      <c r="D651" s="4" t="s">
        <v>103</v>
      </c>
      <c r="E651" s="6" t="s">
        <v>82</v>
      </c>
      <c r="F651" s="10">
        <v>1</v>
      </c>
      <c r="G651" s="7">
        <v>38</v>
      </c>
      <c r="H651" s="7">
        <v>38</v>
      </c>
      <c r="I651" s="1"/>
    </row>
    <row r="652" spans="1:9" x14ac:dyDescent="0.2">
      <c r="A652" s="3">
        <v>11322629</v>
      </c>
      <c r="B652" s="3">
        <v>732437829670</v>
      </c>
      <c r="C652" s="5" t="s">
        <v>725</v>
      </c>
      <c r="D652" s="4" t="s">
        <v>417</v>
      </c>
      <c r="E652" s="6" t="s">
        <v>85</v>
      </c>
      <c r="F652" s="10">
        <v>1</v>
      </c>
      <c r="G652" s="7">
        <v>35</v>
      </c>
      <c r="H652" s="7">
        <v>35</v>
      </c>
      <c r="I652" s="1" t="str">
        <f>HYPERLINK("http://slimages.macys.com/is/image/MCY/9185568 ")</f>
        <v xml:space="preserve">http://slimages.macys.com/is/image/MCY/9185568 </v>
      </c>
    </row>
    <row r="653" spans="1:9" x14ac:dyDescent="0.2">
      <c r="A653" s="3">
        <v>11322629</v>
      </c>
      <c r="B653" s="3">
        <v>740373123035</v>
      </c>
      <c r="C653" s="5" t="s">
        <v>726</v>
      </c>
      <c r="D653" s="4" t="s">
        <v>81</v>
      </c>
      <c r="E653" s="6" t="s">
        <v>85</v>
      </c>
      <c r="F653" s="10">
        <v>1</v>
      </c>
      <c r="G653" s="7">
        <v>31.11</v>
      </c>
      <c r="H653" s="7">
        <v>31.11</v>
      </c>
      <c r="I653" s="1" t="str">
        <f>HYPERLINK("http://slimages.macys.com/is/image/MCY/9488882 ")</f>
        <v xml:space="preserve">http://slimages.macys.com/is/image/MCY/9488882 </v>
      </c>
    </row>
    <row r="654" spans="1:9" x14ac:dyDescent="0.2">
      <c r="A654" s="3">
        <v>11322629</v>
      </c>
      <c r="B654" s="3">
        <v>191202235014</v>
      </c>
      <c r="C654" s="5" t="s">
        <v>464</v>
      </c>
      <c r="D654" s="4" t="s">
        <v>223</v>
      </c>
      <c r="E654" s="6" t="s">
        <v>82</v>
      </c>
      <c r="F654" s="10">
        <v>1</v>
      </c>
      <c r="G654" s="7">
        <v>30</v>
      </c>
      <c r="H654" s="7">
        <v>30</v>
      </c>
      <c r="I654" s="1" t="str">
        <f>HYPERLINK("http://slimages.macys.com/is/image/MCY/9062144 ")</f>
        <v xml:space="preserve">http://slimages.macys.com/is/image/MCY/9062144 </v>
      </c>
    </row>
    <row r="655" spans="1:9" x14ac:dyDescent="0.2">
      <c r="A655" s="3">
        <v>11322629</v>
      </c>
      <c r="B655" s="3">
        <v>51059790671</v>
      </c>
      <c r="C655" s="5" t="s">
        <v>727</v>
      </c>
      <c r="D655" s="4" t="s">
        <v>135</v>
      </c>
      <c r="E655" s="6" t="s">
        <v>85</v>
      </c>
      <c r="F655" s="10">
        <v>4</v>
      </c>
      <c r="G655" s="7">
        <v>28.5</v>
      </c>
      <c r="H655" s="7">
        <v>114</v>
      </c>
      <c r="I655" s="1" t="str">
        <f>HYPERLINK("http://slimages.macys.com/is/image/MCY/9320578 ")</f>
        <v xml:space="preserve">http://slimages.macys.com/is/image/MCY/9320578 </v>
      </c>
    </row>
    <row r="656" spans="1:9" x14ac:dyDescent="0.2">
      <c r="A656" s="3">
        <v>11322629</v>
      </c>
      <c r="B656" s="3">
        <v>51059790718</v>
      </c>
      <c r="C656" s="5" t="s">
        <v>728</v>
      </c>
      <c r="D656" s="4"/>
      <c r="E656" s="6" t="s">
        <v>85</v>
      </c>
      <c r="F656" s="10">
        <v>5</v>
      </c>
      <c r="G656" s="7">
        <v>28.5</v>
      </c>
      <c r="H656" s="7">
        <v>142.5</v>
      </c>
      <c r="I656" s="1" t="str">
        <f>HYPERLINK("http://slimages.macys.com/is/image/MCY/9320578 ")</f>
        <v xml:space="preserve">http://slimages.macys.com/is/image/MCY/9320578 </v>
      </c>
    </row>
    <row r="657" spans="1:9" x14ac:dyDescent="0.2">
      <c r="A657" s="3">
        <v>11322629</v>
      </c>
      <c r="B657" s="3">
        <v>51059788401</v>
      </c>
      <c r="C657" s="5" t="s">
        <v>644</v>
      </c>
      <c r="D657" s="4" t="s">
        <v>81</v>
      </c>
      <c r="E657" s="6" t="s">
        <v>85</v>
      </c>
      <c r="F657" s="10">
        <v>1</v>
      </c>
      <c r="G657" s="7">
        <v>24.5</v>
      </c>
      <c r="H657" s="7">
        <v>24.5</v>
      </c>
      <c r="I657" s="1" t="str">
        <f>HYPERLINK("http://slimages.macys.com/is/image/MCY/9238354 ")</f>
        <v xml:space="preserve">http://slimages.macys.com/is/image/MCY/9238354 </v>
      </c>
    </row>
    <row r="658" spans="1:9" x14ac:dyDescent="0.2">
      <c r="A658" s="3">
        <v>11322629</v>
      </c>
      <c r="B658" s="3">
        <v>51059788388</v>
      </c>
      <c r="C658" s="5" t="s">
        <v>468</v>
      </c>
      <c r="D658" s="4" t="s">
        <v>327</v>
      </c>
      <c r="E658" s="6" t="s">
        <v>85</v>
      </c>
      <c r="F658" s="10">
        <v>2</v>
      </c>
      <c r="G658" s="7">
        <v>24.5</v>
      </c>
      <c r="H658" s="7">
        <v>49</v>
      </c>
      <c r="I658" s="1" t="str">
        <f>HYPERLINK("http://slimages.macys.com/is/image/MCY/9238354 ")</f>
        <v xml:space="preserve">http://slimages.macys.com/is/image/MCY/9238354 </v>
      </c>
    </row>
    <row r="659" spans="1:9" x14ac:dyDescent="0.2">
      <c r="A659" s="3">
        <v>11322629</v>
      </c>
      <c r="B659" s="3">
        <v>51059787213</v>
      </c>
      <c r="C659" s="5" t="s">
        <v>729</v>
      </c>
      <c r="D659" s="4" t="s">
        <v>98</v>
      </c>
      <c r="E659" s="6" t="s">
        <v>85</v>
      </c>
      <c r="F659" s="10">
        <v>2</v>
      </c>
      <c r="G659" s="7">
        <v>24.5</v>
      </c>
      <c r="H659" s="7">
        <v>49</v>
      </c>
      <c r="I659" s="1" t="str">
        <f>HYPERLINK("http://slimages.macys.com/is/image/MCY/9307331 ")</f>
        <v xml:space="preserve">http://slimages.macys.com/is/image/MCY/9307331 </v>
      </c>
    </row>
    <row r="660" spans="1:9" x14ac:dyDescent="0.2">
      <c r="A660" s="3">
        <v>11322629</v>
      </c>
      <c r="B660" s="3">
        <v>51059787206</v>
      </c>
      <c r="C660" s="5" t="s">
        <v>730</v>
      </c>
      <c r="D660" s="4"/>
      <c r="E660" s="6" t="s">
        <v>85</v>
      </c>
      <c r="F660" s="10">
        <v>1</v>
      </c>
      <c r="G660" s="7">
        <v>24.5</v>
      </c>
      <c r="H660" s="7">
        <v>24.5</v>
      </c>
      <c r="I660" s="1" t="str">
        <f>HYPERLINK("http://slimages.macys.com/is/image/MCY/9307331 ")</f>
        <v xml:space="preserve">http://slimages.macys.com/is/image/MCY/9307331 </v>
      </c>
    </row>
    <row r="661" spans="1:9" x14ac:dyDescent="0.2">
      <c r="A661" s="3">
        <v>11322629</v>
      </c>
      <c r="B661" s="3">
        <v>815974027560</v>
      </c>
      <c r="C661" s="5" t="s">
        <v>731</v>
      </c>
      <c r="D661" s="4" t="s">
        <v>81</v>
      </c>
      <c r="E661" s="6" t="s">
        <v>82</v>
      </c>
      <c r="F661" s="10">
        <v>4</v>
      </c>
      <c r="G661" s="7">
        <v>10</v>
      </c>
      <c r="H661" s="7">
        <v>40</v>
      </c>
      <c r="I661" s="1"/>
    </row>
    <row r="662" spans="1:9" x14ac:dyDescent="0.2">
      <c r="A662" s="3">
        <v>11322629</v>
      </c>
      <c r="B662" s="3">
        <v>5025546388752</v>
      </c>
      <c r="C662" s="5" t="s">
        <v>290</v>
      </c>
      <c r="D662" s="4" t="s">
        <v>81</v>
      </c>
      <c r="E662" s="6" t="s">
        <v>291</v>
      </c>
      <c r="F662" s="10">
        <v>9</v>
      </c>
      <c r="G662" s="7">
        <v>10</v>
      </c>
      <c r="H662" s="7">
        <v>90</v>
      </c>
      <c r="I662" s="1"/>
    </row>
    <row r="663" spans="1:9" x14ac:dyDescent="0.2">
      <c r="A663" s="3">
        <v>11342111</v>
      </c>
      <c r="B663" s="3">
        <v>8058571706717</v>
      </c>
      <c r="C663" s="5" t="s">
        <v>732</v>
      </c>
      <c r="D663" s="4" t="s">
        <v>98</v>
      </c>
      <c r="E663" s="6" t="s">
        <v>85</v>
      </c>
      <c r="F663" s="10">
        <v>1</v>
      </c>
      <c r="G663" s="7">
        <v>795</v>
      </c>
      <c r="H663" s="7">
        <v>795</v>
      </c>
      <c r="I663" s="1"/>
    </row>
    <row r="664" spans="1:9" x14ac:dyDescent="0.2">
      <c r="A664" s="3">
        <v>11342111</v>
      </c>
      <c r="B664" s="3">
        <v>8017579433421</v>
      </c>
      <c r="C664" s="5" t="s">
        <v>733</v>
      </c>
      <c r="D664" s="4" t="s">
        <v>81</v>
      </c>
      <c r="E664" s="6" t="s">
        <v>85</v>
      </c>
      <c r="F664" s="10">
        <v>1</v>
      </c>
      <c r="G664" s="7">
        <v>490</v>
      </c>
      <c r="H664" s="7">
        <v>490</v>
      </c>
      <c r="I664" s="1"/>
    </row>
    <row r="665" spans="1:9" x14ac:dyDescent="0.2">
      <c r="A665" s="3">
        <v>11342111</v>
      </c>
      <c r="B665" s="3">
        <v>191202477469</v>
      </c>
      <c r="C665" s="5" t="s">
        <v>734</v>
      </c>
      <c r="D665" s="4" t="s">
        <v>184</v>
      </c>
      <c r="E665" s="6" t="s">
        <v>82</v>
      </c>
      <c r="F665" s="10">
        <v>1</v>
      </c>
      <c r="G665" s="7">
        <v>450</v>
      </c>
      <c r="H665" s="7">
        <v>450</v>
      </c>
      <c r="I665" s="1" t="str">
        <f>HYPERLINK("http://slimages.macys.com/is/image/MCY/9383558 ")</f>
        <v xml:space="preserve">http://slimages.macys.com/is/image/MCY/9383558 </v>
      </c>
    </row>
    <row r="666" spans="1:9" x14ac:dyDescent="0.2">
      <c r="A666" s="3">
        <v>11342111</v>
      </c>
      <c r="B666" s="3">
        <v>889059726440</v>
      </c>
      <c r="C666" s="5" t="s">
        <v>296</v>
      </c>
      <c r="D666" s="4" t="s">
        <v>166</v>
      </c>
      <c r="E666" s="6" t="s">
        <v>82</v>
      </c>
      <c r="F666" s="10">
        <v>2</v>
      </c>
      <c r="G666" s="7">
        <v>398</v>
      </c>
      <c r="H666" s="7">
        <v>796</v>
      </c>
      <c r="I666" s="1" t="str">
        <f>HYPERLINK("http://images.bloomingdales.com/is/image/BLM/9779780 ")</f>
        <v xml:space="preserve">http://images.bloomingdales.com/is/image/BLM/9779780 </v>
      </c>
    </row>
    <row r="667" spans="1:9" x14ac:dyDescent="0.2">
      <c r="A667" s="3">
        <v>11342111</v>
      </c>
      <c r="B667" s="3">
        <v>191935678652</v>
      </c>
      <c r="C667" s="5" t="s">
        <v>735</v>
      </c>
      <c r="D667" s="4" t="s">
        <v>184</v>
      </c>
      <c r="E667" s="6" t="s">
        <v>82</v>
      </c>
      <c r="F667" s="10">
        <v>1</v>
      </c>
      <c r="G667" s="7">
        <v>398</v>
      </c>
      <c r="H667" s="7">
        <v>398</v>
      </c>
      <c r="I667" s="1" t="str">
        <f>HYPERLINK("http://slimages.macys.com/is/image/MCY/9278024 ")</f>
        <v xml:space="preserve">http://slimages.macys.com/is/image/MCY/9278024 </v>
      </c>
    </row>
    <row r="668" spans="1:9" x14ac:dyDescent="0.2">
      <c r="A668" s="3">
        <v>11342111</v>
      </c>
      <c r="B668" s="3">
        <v>191935678645</v>
      </c>
      <c r="C668" s="5" t="s">
        <v>736</v>
      </c>
      <c r="D668" s="4" t="s">
        <v>81</v>
      </c>
      <c r="E668" s="6" t="s">
        <v>82</v>
      </c>
      <c r="F668" s="10">
        <v>1</v>
      </c>
      <c r="G668" s="7">
        <v>398</v>
      </c>
      <c r="H668" s="7">
        <v>398</v>
      </c>
      <c r="I668" s="1" t="str">
        <f>HYPERLINK("http://slimages.macys.com/is/image/MCY/9278024 ")</f>
        <v xml:space="preserve">http://slimages.macys.com/is/image/MCY/9278024 </v>
      </c>
    </row>
    <row r="669" spans="1:9" x14ac:dyDescent="0.2">
      <c r="A669" s="3">
        <v>11342111</v>
      </c>
      <c r="B669" s="3">
        <v>191202070967</v>
      </c>
      <c r="C669" s="5" t="s">
        <v>737</v>
      </c>
      <c r="D669" s="4"/>
      <c r="E669" s="6" t="s">
        <v>82</v>
      </c>
      <c r="F669" s="10">
        <v>1</v>
      </c>
      <c r="G669" s="7">
        <v>395</v>
      </c>
      <c r="H669" s="7">
        <v>395</v>
      </c>
      <c r="I669" s="1" t="str">
        <f>HYPERLINK("http://slimages.macys.com/is/image/MCY/9250060 ")</f>
        <v xml:space="preserve">http://slimages.macys.com/is/image/MCY/9250060 </v>
      </c>
    </row>
    <row r="670" spans="1:9" x14ac:dyDescent="0.2">
      <c r="A670" s="3">
        <v>11342111</v>
      </c>
      <c r="B670" s="3">
        <v>799344535094</v>
      </c>
      <c r="C670" s="5" t="s">
        <v>738</v>
      </c>
      <c r="D670" s="4" t="s">
        <v>253</v>
      </c>
      <c r="E670" s="6" t="s">
        <v>85</v>
      </c>
      <c r="F670" s="10">
        <v>1</v>
      </c>
      <c r="G670" s="7">
        <v>368</v>
      </c>
      <c r="H670" s="7">
        <v>368</v>
      </c>
      <c r="I670" s="1" t="str">
        <f>HYPERLINK("http://slimages.macys.com/is/image/MCY/3856321 ")</f>
        <v xml:space="preserve">http://slimages.macys.com/is/image/MCY/3856321 </v>
      </c>
    </row>
    <row r="671" spans="1:9" x14ac:dyDescent="0.2">
      <c r="A671" s="3">
        <v>11342111</v>
      </c>
      <c r="B671" s="3">
        <v>191935073464</v>
      </c>
      <c r="C671" s="5" t="s">
        <v>739</v>
      </c>
      <c r="D671" s="4" t="s">
        <v>81</v>
      </c>
      <c r="E671" s="6" t="s">
        <v>82</v>
      </c>
      <c r="F671" s="10">
        <v>1</v>
      </c>
      <c r="G671" s="7">
        <v>358</v>
      </c>
      <c r="H671" s="7">
        <v>358</v>
      </c>
      <c r="I671" s="1" t="str">
        <f>HYPERLINK("http://slimages.macys.com/is/image/MCY/9097787 ")</f>
        <v xml:space="preserve">http://slimages.macys.com/is/image/MCY/9097787 </v>
      </c>
    </row>
    <row r="672" spans="1:9" x14ac:dyDescent="0.2">
      <c r="A672" s="3">
        <v>11342111</v>
      </c>
      <c r="B672" s="3">
        <v>191202617377</v>
      </c>
      <c r="C672" s="5" t="s">
        <v>740</v>
      </c>
      <c r="D672" s="4" t="s">
        <v>155</v>
      </c>
      <c r="E672" s="6" t="s">
        <v>82</v>
      </c>
      <c r="F672" s="10">
        <v>1</v>
      </c>
      <c r="G672" s="7">
        <v>350</v>
      </c>
      <c r="H672" s="7">
        <v>350</v>
      </c>
      <c r="I672" s="1" t="str">
        <f>HYPERLINK("http://slimages.macys.com/is/image/MCY/9408675 ")</f>
        <v xml:space="preserve">http://slimages.macys.com/is/image/MCY/9408675 </v>
      </c>
    </row>
    <row r="673" spans="1:9" x14ac:dyDescent="0.2">
      <c r="A673" s="3">
        <v>11342111</v>
      </c>
      <c r="B673" s="3">
        <v>802892717666</v>
      </c>
      <c r="C673" s="5" t="s">
        <v>741</v>
      </c>
      <c r="D673" s="4" t="s">
        <v>100</v>
      </c>
      <c r="E673" s="6" t="s">
        <v>85</v>
      </c>
      <c r="F673" s="10">
        <v>1</v>
      </c>
      <c r="G673" s="7">
        <v>328</v>
      </c>
      <c r="H673" s="7">
        <v>328</v>
      </c>
      <c r="I673" s="1" t="str">
        <f>HYPERLINK("http://slimages.macys.com/is/image/MCY/8991747 ")</f>
        <v xml:space="preserve">http://slimages.macys.com/is/image/MCY/8991747 </v>
      </c>
    </row>
    <row r="674" spans="1:9" x14ac:dyDescent="0.2">
      <c r="A674" s="3">
        <v>11342111</v>
      </c>
      <c r="B674" s="3">
        <v>190049681527</v>
      </c>
      <c r="C674" s="5" t="s">
        <v>742</v>
      </c>
      <c r="D674" s="4" t="s">
        <v>81</v>
      </c>
      <c r="E674" s="6" t="s">
        <v>82</v>
      </c>
      <c r="F674" s="10">
        <v>1</v>
      </c>
      <c r="G674" s="7">
        <v>298</v>
      </c>
      <c r="H674" s="7">
        <v>298</v>
      </c>
      <c r="I674" s="1" t="str">
        <f>HYPERLINK("http://slimages.macys.com/is/image/MCY/4003069 ")</f>
        <v xml:space="preserve">http://slimages.macys.com/is/image/MCY/4003069 </v>
      </c>
    </row>
    <row r="675" spans="1:9" x14ac:dyDescent="0.2">
      <c r="A675" s="3">
        <v>11342111</v>
      </c>
      <c r="B675" s="3">
        <v>191935683380</v>
      </c>
      <c r="C675" s="5" t="s">
        <v>743</v>
      </c>
      <c r="D675" s="4" t="s">
        <v>454</v>
      </c>
      <c r="E675" s="6" t="s">
        <v>82</v>
      </c>
      <c r="F675" s="10">
        <v>1</v>
      </c>
      <c r="G675" s="7">
        <v>298</v>
      </c>
      <c r="H675" s="7">
        <v>298</v>
      </c>
      <c r="I675" s="1" t="str">
        <f>HYPERLINK("http://slimages.macys.com/is/image/MCY/9282731 ")</f>
        <v xml:space="preserve">http://slimages.macys.com/is/image/MCY/9282731 </v>
      </c>
    </row>
    <row r="676" spans="1:9" x14ac:dyDescent="0.2">
      <c r="A676" s="3">
        <v>11342111</v>
      </c>
      <c r="B676" s="3">
        <v>191935679819</v>
      </c>
      <c r="C676" s="5" t="s">
        <v>744</v>
      </c>
      <c r="D676" s="4" t="s">
        <v>135</v>
      </c>
      <c r="E676" s="6" t="s">
        <v>82</v>
      </c>
      <c r="F676" s="10">
        <v>1</v>
      </c>
      <c r="G676" s="7">
        <v>298</v>
      </c>
      <c r="H676" s="7">
        <v>298</v>
      </c>
      <c r="I676" s="1" t="str">
        <f>HYPERLINK("http://slimages.macys.com/is/image/MCY/9353291 ")</f>
        <v xml:space="preserve">http://slimages.macys.com/is/image/MCY/9353291 </v>
      </c>
    </row>
    <row r="677" spans="1:9" x14ac:dyDescent="0.2">
      <c r="A677" s="3">
        <v>11342111</v>
      </c>
      <c r="B677" s="3">
        <v>190049472149</v>
      </c>
      <c r="C677" s="5" t="s">
        <v>745</v>
      </c>
      <c r="D677" s="4" t="s">
        <v>81</v>
      </c>
      <c r="E677" s="6" t="s">
        <v>82</v>
      </c>
      <c r="F677" s="10">
        <v>1</v>
      </c>
      <c r="G677" s="7">
        <v>298</v>
      </c>
      <c r="H677" s="7">
        <v>298</v>
      </c>
      <c r="I677" s="1" t="str">
        <f>HYPERLINK("http://slimages.macys.com/is/image/MCY/3568603 ")</f>
        <v xml:space="preserve">http://slimages.macys.com/is/image/MCY/3568603 </v>
      </c>
    </row>
    <row r="678" spans="1:9" x14ac:dyDescent="0.2">
      <c r="A678" s="3">
        <v>11342111</v>
      </c>
      <c r="B678" s="3">
        <v>191935076007</v>
      </c>
      <c r="C678" s="5" t="s">
        <v>746</v>
      </c>
      <c r="D678" s="4" t="s">
        <v>166</v>
      </c>
      <c r="E678" s="6" t="s">
        <v>82</v>
      </c>
      <c r="F678" s="10">
        <v>1</v>
      </c>
      <c r="G678" s="7">
        <v>298</v>
      </c>
      <c r="H678" s="7">
        <v>298</v>
      </c>
      <c r="I678" s="1" t="str">
        <f>HYPERLINK("http://slimages.macys.com/is/image/MCY/9026254 ")</f>
        <v xml:space="preserve">http://slimages.macys.com/is/image/MCY/9026254 </v>
      </c>
    </row>
    <row r="679" spans="1:9" x14ac:dyDescent="0.2">
      <c r="A679" s="3">
        <v>11342111</v>
      </c>
      <c r="B679" s="3">
        <v>191935677488</v>
      </c>
      <c r="C679" s="5" t="s">
        <v>747</v>
      </c>
      <c r="D679" s="4" t="s">
        <v>89</v>
      </c>
      <c r="E679" s="6" t="s">
        <v>82</v>
      </c>
      <c r="F679" s="10">
        <v>1</v>
      </c>
      <c r="G679" s="7">
        <v>298</v>
      </c>
      <c r="H679" s="7">
        <v>298</v>
      </c>
      <c r="I679" s="1" t="str">
        <f>HYPERLINK("http://slimages.macys.com/is/image/MCY/9366317 ")</f>
        <v xml:space="preserve">http://slimages.macys.com/is/image/MCY/9366317 </v>
      </c>
    </row>
    <row r="680" spans="1:9" x14ac:dyDescent="0.2">
      <c r="A680" s="3">
        <v>11342111</v>
      </c>
      <c r="B680" s="3">
        <v>883820096350</v>
      </c>
      <c r="C680" s="5" t="s">
        <v>480</v>
      </c>
      <c r="D680" s="4" t="s">
        <v>98</v>
      </c>
      <c r="E680" s="6" t="s">
        <v>85</v>
      </c>
      <c r="F680" s="10">
        <v>1</v>
      </c>
      <c r="G680" s="7">
        <v>298</v>
      </c>
      <c r="H680" s="7">
        <v>298</v>
      </c>
      <c r="I680" s="1" t="str">
        <f>HYPERLINK("http://slimages.macys.com/is/image/MCY/9325193 ")</f>
        <v xml:space="preserve">http://slimages.macys.com/is/image/MCY/9325193 </v>
      </c>
    </row>
    <row r="681" spans="1:9" x14ac:dyDescent="0.2">
      <c r="A681" s="3">
        <v>11342111</v>
      </c>
      <c r="B681" s="3">
        <v>191202478985</v>
      </c>
      <c r="C681" s="5" t="s">
        <v>481</v>
      </c>
      <c r="D681" s="4" t="s">
        <v>87</v>
      </c>
      <c r="E681" s="6" t="s">
        <v>82</v>
      </c>
      <c r="F681" s="10">
        <v>2</v>
      </c>
      <c r="G681" s="7">
        <v>295</v>
      </c>
      <c r="H681" s="7">
        <v>590</v>
      </c>
      <c r="I681" s="1" t="str">
        <f>HYPERLINK("http://slimages.macys.com/is/image/MCY/9132417 ")</f>
        <v xml:space="preserve">http://slimages.macys.com/is/image/MCY/9132417 </v>
      </c>
    </row>
    <row r="682" spans="1:9" x14ac:dyDescent="0.2">
      <c r="A682" s="3">
        <v>11342111</v>
      </c>
      <c r="B682" s="3">
        <v>191267424491</v>
      </c>
      <c r="C682" s="5" t="s">
        <v>748</v>
      </c>
      <c r="D682" s="4" t="s">
        <v>107</v>
      </c>
      <c r="E682" s="6" t="s">
        <v>85</v>
      </c>
      <c r="F682" s="10">
        <v>1</v>
      </c>
      <c r="G682" s="7">
        <v>295</v>
      </c>
      <c r="H682" s="7">
        <v>295</v>
      </c>
      <c r="I682" s="1" t="str">
        <f>HYPERLINK("http://images.bloomingdales.com/is/image/BLM/9661664 ")</f>
        <v xml:space="preserve">http://images.bloomingdales.com/is/image/BLM/9661664 </v>
      </c>
    </row>
    <row r="683" spans="1:9" x14ac:dyDescent="0.2">
      <c r="A683" s="3">
        <v>11342111</v>
      </c>
      <c r="B683" s="3">
        <v>191267267036</v>
      </c>
      <c r="C683" s="5" t="s">
        <v>112</v>
      </c>
      <c r="D683" s="4" t="s">
        <v>419</v>
      </c>
      <c r="E683" s="6" t="s">
        <v>85</v>
      </c>
      <c r="F683" s="10">
        <v>1</v>
      </c>
      <c r="G683" s="7">
        <v>295</v>
      </c>
      <c r="H683" s="7">
        <v>295</v>
      </c>
      <c r="I683" s="1"/>
    </row>
    <row r="684" spans="1:9" x14ac:dyDescent="0.2">
      <c r="A684" s="3">
        <v>11342111</v>
      </c>
      <c r="B684" s="3">
        <v>671194207157</v>
      </c>
      <c r="C684" s="5" t="s">
        <v>749</v>
      </c>
      <c r="D684" s="4" t="s">
        <v>238</v>
      </c>
      <c r="E684" s="6" t="s">
        <v>85</v>
      </c>
      <c r="F684" s="10">
        <v>1</v>
      </c>
      <c r="G684" s="7">
        <v>288</v>
      </c>
      <c r="H684" s="7">
        <v>288</v>
      </c>
      <c r="I684" s="1" t="str">
        <f>HYPERLINK("http://images.bloomingdales.com/is/image/BLM/1203415 ")</f>
        <v xml:space="preserve">http://images.bloomingdales.com/is/image/BLM/1203415 </v>
      </c>
    </row>
    <row r="685" spans="1:9" x14ac:dyDescent="0.2">
      <c r="A685" s="3">
        <v>11342111</v>
      </c>
      <c r="B685" s="3">
        <v>671194203395</v>
      </c>
      <c r="C685" s="5" t="s">
        <v>750</v>
      </c>
      <c r="D685" s="4" t="s">
        <v>153</v>
      </c>
      <c r="E685" s="6" t="s">
        <v>85</v>
      </c>
      <c r="F685" s="10">
        <v>1</v>
      </c>
      <c r="G685" s="7">
        <v>288</v>
      </c>
      <c r="H685" s="7">
        <v>288</v>
      </c>
      <c r="I685" s="1" t="str">
        <f>HYPERLINK("http://images.bloomingdales.com/is/image/BLM/1177051 ")</f>
        <v xml:space="preserve">http://images.bloomingdales.com/is/image/BLM/1177051 </v>
      </c>
    </row>
    <row r="686" spans="1:9" x14ac:dyDescent="0.2">
      <c r="A686" s="3">
        <v>11342111</v>
      </c>
      <c r="B686" s="3">
        <v>671194203401</v>
      </c>
      <c r="C686" s="5" t="s">
        <v>751</v>
      </c>
      <c r="D686" s="4" t="s">
        <v>113</v>
      </c>
      <c r="E686" s="6" t="s">
        <v>85</v>
      </c>
      <c r="F686" s="10">
        <v>1</v>
      </c>
      <c r="G686" s="7">
        <v>288</v>
      </c>
      <c r="H686" s="7">
        <v>288</v>
      </c>
      <c r="I686" s="1" t="str">
        <f>HYPERLINK("http://images.bloomingdales.com/is/image/BLM/1178469 ")</f>
        <v xml:space="preserve">http://images.bloomingdales.com/is/image/BLM/1178469 </v>
      </c>
    </row>
    <row r="687" spans="1:9" x14ac:dyDescent="0.2">
      <c r="A687" s="3">
        <v>11342111</v>
      </c>
      <c r="B687" s="3">
        <v>886742060911</v>
      </c>
      <c r="C687" s="5" t="s">
        <v>752</v>
      </c>
      <c r="D687" s="4" t="s">
        <v>81</v>
      </c>
      <c r="E687" s="6" t="s">
        <v>85</v>
      </c>
      <c r="F687" s="10">
        <v>1</v>
      </c>
      <c r="G687" s="7">
        <v>278</v>
      </c>
      <c r="H687" s="7">
        <v>278</v>
      </c>
      <c r="I687" s="1" t="str">
        <f>HYPERLINK("http://slimages.macys.com/is/image/MCY/3550003 ")</f>
        <v xml:space="preserve">http://slimages.macys.com/is/image/MCY/3550003 </v>
      </c>
    </row>
    <row r="688" spans="1:9" x14ac:dyDescent="0.2">
      <c r="A688" s="3">
        <v>11342111</v>
      </c>
      <c r="B688" s="3">
        <v>5025546385416</v>
      </c>
      <c r="C688" s="5" t="s">
        <v>753</v>
      </c>
      <c r="D688" s="4" t="s">
        <v>94</v>
      </c>
      <c r="E688" s="6" t="s">
        <v>118</v>
      </c>
      <c r="F688" s="10">
        <v>1</v>
      </c>
      <c r="G688" s="7">
        <v>275</v>
      </c>
      <c r="H688" s="7">
        <v>275</v>
      </c>
      <c r="I688" s="1" t="str">
        <f>HYPERLINK("http://slimages.macys.com/is/image/MCY/9477771 ")</f>
        <v xml:space="preserve">http://slimages.macys.com/is/image/MCY/9477771 </v>
      </c>
    </row>
    <row r="689" spans="1:9" x14ac:dyDescent="0.2">
      <c r="A689" s="3">
        <v>11342111</v>
      </c>
      <c r="B689" s="3">
        <v>192317316490</v>
      </c>
      <c r="C689" s="5" t="s">
        <v>0</v>
      </c>
      <c r="D689" s="4" t="s">
        <v>89</v>
      </c>
      <c r="E689" s="6" t="s">
        <v>82</v>
      </c>
      <c r="F689" s="10">
        <v>1</v>
      </c>
      <c r="G689" s="7">
        <v>268</v>
      </c>
      <c r="H689" s="7">
        <v>268</v>
      </c>
      <c r="I689" s="1" t="str">
        <f>HYPERLINK("http://slimages.macys.com/is/image/MCY/9797793 ")</f>
        <v xml:space="preserve">http://slimages.macys.com/is/image/MCY/9797793 </v>
      </c>
    </row>
    <row r="690" spans="1:9" x14ac:dyDescent="0.2">
      <c r="A690" s="3">
        <v>11342111</v>
      </c>
      <c r="B690" s="3">
        <v>191262358326</v>
      </c>
      <c r="C690" s="5" t="s">
        <v>1</v>
      </c>
      <c r="D690" s="4" t="s">
        <v>81</v>
      </c>
      <c r="E690" s="6" t="s">
        <v>82</v>
      </c>
      <c r="F690" s="10">
        <v>1</v>
      </c>
      <c r="G690" s="7">
        <v>268</v>
      </c>
      <c r="H690" s="7">
        <v>268</v>
      </c>
      <c r="I690" s="1" t="str">
        <f>HYPERLINK("http://slimages.macys.com/is/image/MCY/8728976 ")</f>
        <v xml:space="preserve">http://slimages.macys.com/is/image/MCY/8728976 </v>
      </c>
    </row>
    <row r="691" spans="1:9" x14ac:dyDescent="0.2">
      <c r="A691" s="3">
        <v>11342111</v>
      </c>
      <c r="B691" s="3">
        <v>5045259612876</v>
      </c>
      <c r="C691" s="5" t="s">
        <v>2</v>
      </c>
      <c r="D691" s="4" t="s">
        <v>81</v>
      </c>
      <c r="E691" s="6"/>
      <c r="F691" s="10">
        <v>1</v>
      </c>
      <c r="G691" s="7">
        <v>250</v>
      </c>
      <c r="H691" s="7">
        <v>250</v>
      </c>
      <c r="I691" s="1"/>
    </row>
    <row r="692" spans="1:9" x14ac:dyDescent="0.2">
      <c r="A692" s="3">
        <v>11342111</v>
      </c>
      <c r="B692" s="3">
        <v>887986102153</v>
      </c>
      <c r="C692" s="5" t="s">
        <v>661</v>
      </c>
      <c r="D692" s="4" t="s">
        <v>81</v>
      </c>
      <c r="E692" s="6" t="s">
        <v>85</v>
      </c>
      <c r="F692" s="10">
        <v>1</v>
      </c>
      <c r="G692" s="7">
        <v>249</v>
      </c>
      <c r="H692" s="7">
        <v>249</v>
      </c>
      <c r="I692" s="1" t="str">
        <f>HYPERLINK("http://slimages.macys.com/is/image/MCY/9266021 ")</f>
        <v xml:space="preserve">http://slimages.macys.com/is/image/MCY/9266021 </v>
      </c>
    </row>
    <row r="693" spans="1:9" x14ac:dyDescent="0.2">
      <c r="A693" s="3">
        <v>11342111</v>
      </c>
      <c r="B693" s="3">
        <v>191935683090</v>
      </c>
      <c r="C693" s="5" t="s">
        <v>491</v>
      </c>
      <c r="D693" s="4" t="s">
        <v>454</v>
      </c>
      <c r="E693" s="6" t="s">
        <v>82</v>
      </c>
      <c r="F693" s="10">
        <v>1</v>
      </c>
      <c r="G693" s="7">
        <v>248</v>
      </c>
      <c r="H693" s="7">
        <v>248</v>
      </c>
      <c r="I693" s="1" t="str">
        <f>HYPERLINK("http://slimages.macys.com/is/image/MCY/9278126 ")</f>
        <v xml:space="preserve">http://slimages.macys.com/is/image/MCY/9278126 </v>
      </c>
    </row>
    <row r="694" spans="1:9" x14ac:dyDescent="0.2">
      <c r="A694" s="3">
        <v>11342111</v>
      </c>
      <c r="B694" s="3">
        <v>191935674241</v>
      </c>
      <c r="C694" s="5" t="s">
        <v>3</v>
      </c>
      <c r="D694" s="4" t="s">
        <v>158</v>
      </c>
      <c r="E694" s="6" t="s">
        <v>82</v>
      </c>
      <c r="F694" s="10">
        <v>2</v>
      </c>
      <c r="G694" s="7">
        <v>248</v>
      </c>
      <c r="H694" s="7">
        <v>496</v>
      </c>
      <c r="I694" s="1" t="str">
        <f>HYPERLINK("http://slimages.macys.com/is/image/MCY/9282539 ")</f>
        <v xml:space="preserve">http://slimages.macys.com/is/image/MCY/9282539 </v>
      </c>
    </row>
    <row r="695" spans="1:9" x14ac:dyDescent="0.2">
      <c r="A695" s="3">
        <v>11342111</v>
      </c>
      <c r="B695" s="3">
        <v>191935679017</v>
      </c>
      <c r="C695" s="5" t="s">
        <v>4</v>
      </c>
      <c r="D695" s="4" t="s">
        <v>81</v>
      </c>
      <c r="E695" s="6" t="s">
        <v>82</v>
      </c>
      <c r="F695" s="10">
        <v>1</v>
      </c>
      <c r="G695" s="7">
        <v>248</v>
      </c>
      <c r="H695" s="7">
        <v>248</v>
      </c>
      <c r="I695" s="1" t="str">
        <f>HYPERLINK("http://slimages.macys.com/is/image/MCY/9309077 ")</f>
        <v xml:space="preserve">http://slimages.macys.com/is/image/MCY/9309077 </v>
      </c>
    </row>
    <row r="696" spans="1:9" x14ac:dyDescent="0.2">
      <c r="A696" s="3">
        <v>11342111</v>
      </c>
      <c r="B696" s="3">
        <v>802892842214</v>
      </c>
      <c r="C696" s="5" t="s">
        <v>5</v>
      </c>
      <c r="D696" s="4" t="s">
        <v>87</v>
      </c>
      <c r="E696" s="6" t="s">
        <v>85</v>
      </c>
      <c r="F696" s="10">
        <v>1</v>
      </c>
      <c r="G696" s="7">
        <v>228</v>
      </c>
      <c r="H696" s="7">
        <v>228</v>
      </c>
      <c r="I696" s="1" t="str">
        <f>HYPERLINK("http://slimages.macys.com/is/image/MCY/9457896 ")</f>
        <v xml:space="preserve">http://slimages.macys.com/is/image/MCY/9457896 </v>
      </c>
    </row>
    <row r="697" spans="1:9" x14ac:dyDescent="0.2">
      <c r="A697" s="3">
        <v>11342111</v>
      </c>
      <c r="B697" s="3">
        <v>191267166285</v>
      </c>
      <c r="C697" s="5" t="s">
        <v>6</v>
      </c>
      <c r="D697" s="4" t="s">
        <v>279</v>
      </c>
      <c r="E697" s="6" t="s">
        <v>85</v>
      </c>
      <c r="F697" s="10">
        <v>1</v>
      </c>
      <c r="G697" s="7">
        <v>210</v>
      </c>
      <c r="H697" s="7">
        <v>210</v>
      </c>
      <c r="I697" s="1"/>
    </row>
    <row r="698" spans="1:9" x14ac:dyDescent="0.2">
      <c r="A698" s="3">
        <v>11342111</v>
      </c>
      <c r="B698" s="3">
        <v>882256341386</v>
      </c>
      <c r="C698" s="5" t="s">
        <v>7</v>
      </c>
      <c r="D698" s="4" t="s">
        <v>89</v>
      </c>
      <c r="E698" s="6" t="s">
        <v>173</v>
      </c>
      <c r="F698" s="10">
        <v>1</v>
      </c>
      <c r="G698" s="7">
        <v>199</v>
      </c>
      <c r="H698" s="7">
        <v>199</v>
      </c>
      <c r="I698" s="1" t="str">
        <f>HYPERLINK("http://slimages.macys.com/is/image/MCY/8996161 ")</f>
        <v xml:space="preserve">http://slimages.macys.com/is/image/MCY/8996161 </v>
      </c>
    </row>
    <row r="699" spans="1:9" x14ac:dyDescent="0.2">
      <c r="A699" s="3">
        <v>11342111</v>
      </c>
      <c r="B699" s="3">
        <v>191935680778</v>
      </c>
      <c r="C699" s="5" t="s">
        <v>602</v>
      </c>
      <c r="D699" s="4" t="s">
        <v>135</v>
      </c>
      <c r="E699" s="6" t="s">
        <v>82</v>
      </c>
      <c r="F699" s="10">
        <v>1</v>
      </c>
      <c r="G699" s="7">
        <v>198</v>
      </c>
      <c r="H699" s="7">
        <v>198</v>
      </c>
      <c r="I699" s="1" t="str">
        <f>HYPERLINK("http://slimages.macys.com/is/image/MCY/9366856 ")</f>
        <v xml:space="preserve">http://slimages.macys.com/is/image/MCY/9366856 </v>
      </c>
    </row>
    <row r="700" spans="1:9" x14ac:dyDescent="0.2">
      <c r="A700" s="3">
        <v>11342111</v>
      </c>
      <c r="B700" s="3">
        <v>98687022620</v>
      </c>
      <c r="C700" s="5" t="s">
        <v>501</v>
      </c>
      <c r="D700" s="4" t="s">
        <v>100</v>
      </c>
      <c r="E700" s="6" t="s">
        <v>85</v>
      </c>
      <c r="F700" s="10">
        <v>1</v>
      </c>
      <c r="G700" s="7">
        <v>198</v>
      </c>
      <c r="H700" s="7">
        <v>198</v>
      </c>
      <c r="I700" s="1" t="str">
        <f>HYPERLINK("http://slimages.macys.com/is/image/MCY/8253897 ")</f>
        <v xml:space="preserve">http://slimages.macys.com/is/image/MCY/8253897 </v>
      </c>
    </row>
    <row r="701" spans="1:9" x14ac:dyDescent="0.2">
      <c r="A701" s="3">
        <v>11342111</v>
      </c>
      <c r="B701" s="3">
        <v>883820063109</v>
      </c>
      <c r="C701" s="5" t="s">
        <v>8</v>
      </c>
      <c r="D701" s="4" t="s">
        <v>113</v>
      </c>
      <c r="E701" s="6" t="s">
        <v>85</v>
      </c>
      <c r="F701" s="10">
        <v>1</v>
      </c>
      <c r="G701" s="7">
        <v>198</v>
      </c>
      <c r="H701" s="7">
        <v>198</v>
      </c>
      <c r="I701" s="1" t="str">
        <f>HYPERLINK("http://slimages.macys.com/is/image/MCY/9284813 ")</f>
        <v xml:space="preserve">http://slimages.macys.com/is/image/MCY/9284813 </v>
      </c>
    </row>
    <row r="702" spans="1:9" x14ac:dyDescent="0.2">
      <c r="A702" s="3">
        <v>11342111</v>
      </c>
      <c r="B702" s="3">
        <v>191797497866</v>
      </c>
      <c r="C702" s="5" t="s">
        <v>502</v>
      </c>
      <c r="D702" s="4" t="s">
        <v>98</v>
      </c>
      <c r="E702" s="6" t="s">
        <v>85</v>
      </c>
      <c r="F702" s="10">
        <v>1</v>
      </c>
      <c r="G702" s="7">
        <v>198</v>
      </c>
      <c r="H702" s="7">
        <v>198</v>
      </c>
      <c r="I702" s="1" t="str">
        <f>HYPERLINK("http://slimages.macys.com/is/image/MCY/9379391 ")</f>
        <v xml:space="preserve">http://slimages.macys.com/is/image/MCY/9379391 </v>
      </c>
    </row>
    <row r="703" spans="1:9" x14ac:dyDescent="0.2">
      <c r="A703" s="3">
        <v>11342111</v>
      </c>
      <c r="B703" s="3">
        <v>190466819947</v>
      </c>
      <c r="C703" s="5" t="s">
        <v>9</v>
      </c>
      <c r="D703" s="4" t="s">
        <v>360</v>
      </c>
      <c r="E703" s="6" t="s">
        <v>85</v>
      </c>
      <c r="F703" s="10">
        <v>1</v>
      </c>
      <c r="G703" s="7">
        <v>198</v>
      </c>
      <c r="H703" s="7">
        <v>198</v>
      </c>
      <c r="I703" s="1" t="str">
        <f>HYPERLINK("http://slimages.macys.com/is/image/MCY/8210468 ")</f>
        <v xml:space="preserve">http://slimages.macys.com/is/image/MCY/8210468 </v>
      </c>
    </row>
    <row r="704" spans="1:9" x14ac:dyDescent="0.2">
      <c r="A704" s="3">
        <v>11342111</v>
      </c>
      <c r="B704" s="3">
        <v>889732789410</v>
      </c>
      <c r="C704" s="5" t="s">
        <v>10</v>
      </c>
      <c r="D704" s="4" t="s">
        <v>81</v>
      </c>
      <c r="E704" s="6" t="s">
        <v>85</v>
      </c>
      <c r="F704" s="10">
        <v>1</v>
      </c>
      <c r="G704" s="7">
        <v>195</v>
      </c>
      <c r="H704" s="7">
        <v>195</v>
      </c>
      <c r="I704" s="1" t="str">
        <f>HYPERLINK("http://images.bloomingdales.com/is/image/BLM/9663889 ")</f>
        <v xml:space="preserve">http://images.bloomingdales.com/is/image/BLM/9663889 </v>
      </c>
    </row>
    <row r="705" spans="1:9" x14ac:dyDescent="0.2">
      <c r="A705" s="3">
        <v>11342111</v>
      </c>
      <c r="B705" s="3">
        <v>191267266183</v>
      </c>
      <c r="C705" s="5" t="s">
        <v>11</v>
      </c>
      <c r="D705" s="4" t="s">
        <v>81</v>
      </c>
      <c r="E705" s="6" t="s">
        <v>85</v>
      </c>
      <c r="F705" s="10">
        <v>1</v>
      </c>
      <c r="G705" s="7">
        <v>195</v>
      </c>
      <c r="H705" s="7">
        <v>195</v>
      </c>
      <c r="I705" s="1" t="str">
        <f>HYPERLINK("http://images.bloomingdales.com/is/image/BLM/9749735 ")</f>
        <v xml:space="preserve">http://images.bloomingdales.com/is/image/BLM/9749735 </v>
      </c>
    </row>
    <row r="706" spans="1:9" x14ac:dyDescent="0.2">
      <c r="A706" s="3">
        <v>11342111</v>
      </c>
      <c r="B706" s="3">
        <v>191267266206</v>
      </c>
      <c r="C706" s="5" t="s">
        <v>11</v>
      </c>
      <c r="D706" s="4" t="s">
        <v>89</v>
      </c>
      <c r="E706" s="6" t="s">
        <v>85</v>
      </c>
      <c r="F706" s="10">
        <v>1</v>
      </c>
      <c r="G706" s="7">
        <v>195</v>
      </c>
      <c r="H706" s="7">
        <v>195</v>
      </c>
      <c r="I706" s="1" t="str">
        <f>HYPERLINK("http://images.bloomingdales.com/is/image/BLM/9749735 ")</f>
        <v xml:space="preserve">http://images.bloomingdales.com/is/image/BLM/9749735 </v>
      </c>
    </row>
    <row r="707" spans="1:9" x14ac:dyDescent="0.2">
      <c r="A707" s="3">
        <v>11342111</v>
      </c>
      <c r="B707" s="3">
        <v>191797496999</v>
      </c>
      <c r="C707" s="5" t="s">
        <v>334</v>
      </c>
      <c r="D707" s="4" t="s">
        <v>98</v>
      </c>
      <c r="E707" s="6" t="s">
        <v>85</v>
      </c>
      <c r="F707" s="10">
        <v>9</v>
      </c>
      <c r="G707" s="7">
        <v>188</v>
      </c>
      <c r="H707" s="7">
        <v>1692</v>
      </c>
      <c r="I707" s="1" t="str">
        <f>HYPERLINK("http://slimages.macys.com/is/image/MCY/9595511 ")</f>
        <v xml:space="preserve">http://slimages.macys.com/is/image/MCY/9595511 </v>
      </c>
    </row>
    <row r="708" spans="1:9" x14ac:dyDescent="0.2">
      <c r="A708" s="3">
        <v>11342111</v>
      </c>
      <c r="B708" s="3">
        <v>889154534926</v>
      </c>
      <c r="C708" s="5" t="s">
        <v>12</v>
      </c>
      <c r="D708" s="4" t="s">
        <v>81</v>
      </c>
      <c r="E708" s="6" t="s">
        <v>82</v>
      </c>
      <c r="F708" s="10">
        <v>1</v>
      </c>
      <c r="G708" s="7">
        <v>178</v>
      </c>
      <c r="H708" s="7">
        <v>178</v>
      </c>
      <c r="I708" s="1" t="str">
        <f>HYPERLINK("http://slimages.macys.com/is/image/MCY/3368617 ")</f>
        <v xml:space="preserve">http://slimages.macys.com/is/image/MCY/3368617 </v>
      </c>
    </row>
    <row r="709" spans="1:9" x14ac:dyDescent="0.2">
      <c r="A709" s="3">
        <v>11342111</v>
      </c>
      <c r="B709" s="3">
        <v>191797498016</v>
      </c>
      <c r="C709" s="5" t="s">
        <v>151</v>
      </c>
      <c r="D709" s="4" t="s">
        <v>100</v>
      </c>
      <c r="E709" s="6" t="s">
        <v>85</v>
      </c>
      <c r="F709" s="10">
        <v>17</v>
      </c>
      <c r="G709" s="7">
        <v>178</v>
      </c>
      <c r="H709" s="7">
        <v>3026</v>
      </c>
      <c r="I709" s="1" t="str">
        <f>HYPERLINK("http://slimages.macys.com/is/image/MCY/9125585 ")</f>
        <v xml:space="preserve">http://slimages.macys.com/is/image/MCY/9125585 </v>
      </c>
    </row>
    <row r="710" spans="1:9" x14ac:dyDescent="0.2">
      <c r="A710" s="3">
        <v>11342111</v>
      </c>
      <c r="B710" s="3">
        <v>191267266787</v>
      </c>
      <c r="C710" s="5" t="s">
        <v>13</v>
      </c>
      <c r="D710" s="4" t="s">
        <v>89</v>
      </c>
      <c r="E710" s="6" t="s">
        <v>85</v>
      </c>
      <c r="F710" s="10">
        <v>1</v>
      </c>
      <c r="G710" s="7">
        <v>175</v>
      </c>
      <c r="H710" s="7">
        <v>175</v>
      </c>
      <c r="I710" s="1"/>
    </row>
    <row r="711" spans="1:9" x14ac:dyDescent="0.2">
      <c r="A711" s="3">
        <v>11342111</v>
      </c>
      <c r="B711" s="3">
        <v>191797500146</v>
      </c>
      <c r="C711" s="5" t="s">
        <v>508</v>
      </c>
      <c r="D711" s="4" t="s">
        <v>98</v>
      </c>
      <c r="E711" s="6" t="s">
        <v>85</v>
      </c>
      <c r="F711" s="10">
        <v>1</v>
      </c>
      <c r="G711" s="7">
        <v>168</v>
      </c>
      <c r="H711" s="7">
        <v>168</v>
      </c>
      <c r="I711" s="1" t="str">
        <f>HYPERLINK("http://slimages.macys.com/is/image/MCY/9409617 ")</f>
        <v xml:space="preserve">http://slimages.macys.com/is/image/MCY/9409617 </v>
      </c>
    </row>
    <row r="712" spans="1:9" x14ac:dyDescent="0.2">
      <c r="A712" s="3">
        <v>11342111</v>
      </c>
      <c r="B712" s="3">
        <v>191202218666</v>
      </c>
      <c r="C712" s="5" t="s">
        <v>14</v>
      </c>
      <c r="D712" s="4" t="s">
        <v>100</v>
      </c>
      <c r="E712" s="6" t="s">
        <v>82</v>
      </c>
      <c r="F712" s="10">
        <v>2</v>
      </c>
      <c r="G712" s="7">
        <v>165</v>
      </c>
      <c r="H712" s="7">
        <v>330</v>
      </c>
      <c r="I712" s="1" t="str">
        <f>HYPERLINK("http://slimages.macys.com/is/image/MCY/9161617 ")</f>
        <v xml:space="preserve">http://slimages.macys.com/is/image/MCY/9161617 </v>
      </c>
    </row>
    <row r="713" spans="1:9" x14ac:dyDescent="0.2">
      <c r="A713" s="3">
        <v>11342111</v>
      </c>
      <c r="B713" s="3">
        <v>5025546377145</v>
      </c>
      <c r="C713" s="5" t="s">
        <v>15</v>
      </c>
      <c r="D713" s="4" t="s">
        <v>355</v>
      </c>
      <c r="E713" s="6" t="s">
        <v>132</v>
      </c>
      <c r="F713" s="10">
        <v>1</v>
      </c>
      <c r="G713" s="7">
        <v>165</v>
      </c>
      <c r="H713" s="7">
        <v>165</v>
      </c>
      <c r="I713" s="1" t="str">
        <f>HYPERLINK("http://slimages.macys.com/is/image/MCY/9285587 ")</f>
        <v xml:space="preserve">http://slimages.macys.com/is/image/MCY/9285587 </v>
      </c>
    </row>
    <row r="714" spans="1:9" x14ac:dyDescent="0.2">
      <c r="A714" s="3">
        <v>11342111</v>
      </c>
      <c r="B714" s="3">
        <v>888188383142</v>
      </c>
      <c r="C714" s="5" t="s">
        <v>16</v>
      </c>
      <c r="D714" s="4" t="s">
        <v>98</v>
      </c>
      <c r="E714" s="6" t="s">
        <v>85</v>
      </c>
      <c r="F714" s="10">
        <v>1</v>
      </c>
      <c r="G714" s="7">
        <v>158</v>
      </c>
      <c r="H714" s="7">
        <v>158</v>
      </c>
      <c r="I714" s="1" t="str">
        <f>HYPERLINK("http://slimages.macys.com/is/image/MCY/9128040 ")</f>
        <v xml:space="preserve">http://slimages.macys.com/is/image/MCY/9128040 </v>
      </c>
    </row>
    <row r="715" spans="1:9" x14ac:dyDescent="0.2">
      <c r="A715" s="3">
        <v>11342111</v>
      </c>
      <c r="B715" s="3">
        <v>888188376762</v>
      </c>
      <c r="C715" s="5" t="s">
        <v>17</v>
      </c>
      <c r="D715" s="4" t="s">
        <v>81</v>
      </c>
      <c r="E715" s="6" t="s">
        <v>85</v>
      </c>
      <c r="F715" s="10">
        <v>1</v>
      </c>
      <c r="G715" s="7">
        <v>158</v>
      </c>
      <c r="H715" s="7">
        <v>158</v>
      </c>
      <c r="I715" s="1" t="str">
        <f>HYPERLINK("http://slimages.macys.com/is/image/MCY/9138612 ")</f>
        <v xml:space="preserve">http://slimages.macys.com/is/image/MCY/9138612 </v>
      </c>
    </row>
    <row r="716" spans="1:9" x14ac:dyDescent="0.2">
      <c r="A716" s="3">
        <v>11342111</v>
      </c>
      <c r="B716" s="3">
        <v>191797864514</v>
      </c>
      <c r="C716" s="5" t="s">
        <v>18</v>
      </c>
      <c r="D716" s="4" t="s">
        <v>129</v>
      </c>
      <c r="E716" s="6" t="s">
        <v>85</v>
      </c>
      <c r="F716" s="10">
        <v>1</v>
      </c>
      <c r="G716" s="7">
        <v>158</v>
      </c>
      <c r="H716" s="7">
        <v>158</v>
      </c>
      <c r="I716" s="1" t="str">
        <f>HYPERLINK("http://slimages.macys.com/is/image/MCY/9274190 ")</f>
        <v xml:space="preserve">http://slimages.macys.com/is/image/MCY/9274190 </v>
      </c>
    </row>
    <row r="717" spans="1:9" x14ac:dyDescent="0.2">
      <c r="A717" s="3">
        <v>11342111</v>
      </c>
      <c r="B717" s="3">
        <v>191797497071</v>
      </c>
      <c r="C717" s="5" t="s">
        <v>334</v>
      </c>
      <c r="D717" s="4" t="s">
        <v>98</v>
      </c>
      <c r="E717" s="6" t="s">
        <v>85</v>
      </c>
      <c r="F717" s="10">
        <v>1</v>
      </c>
      <c r="G717" s="7">
        <v>158</v>
      </c>
      <c r="H717" s="7">
        <v>158</v>
      </c>
      <c r="I717" s="1" t="str">
        <f>HYPERLINK("http://slimages.macys.com/is/image/MCY/9553461 ")</f>
        <v xml:space="preserve">http://slimages.macys.com/is/image/MCY/9553461 </v>
      </c>
    </row>
    <row r="718" spans="1:9" x14ac:dyDescent="0.2">
      <c r="A718" s="3">
        <v>11342111</v>
      </c>
      <c r="B718" s="3">
        <v>191202168497</v>
      </c>
      <c r="C718" s="5" t="s">
        <v>19</v>
      </c>
      <c r="D718" s="4" t="s">
        <v>175</v>
      </c>
      <c r="E718" s="6" t="s">
        <v>82</v>
      </c>
      <c r="F718" s="10">
        <v>1</v>
      </c>
      <c r="G718" s="7">
        <v>150</v>
      </c>
      <c r="H718" s="7">
        <v>150</v>
      </c>
      <c r="I718" s="1" t="str">
        <f>HYPERLINK("http://slimages.macys.com/is/image/MCY/8776703 ")</f>
        <v xml:space="preserve">http://slimages.macys.com/is/image/MCY/8776703 </v>
      </c>
    </row>
    <row r="719" spans="1:9" x14ac:dyDescent="0.2">
      <c r="A719" s="3">
        <v>11342111</v>
      </c>
      <c r="B719" s="3">
        <v>711640579343</v>
      </c>
      <c r="C719" s="5" t="s">
        <v>20</v>
      </c>
      <c r="D719" s="4" t="s">
        <v>107</v>
      </c>
      <c r="E719" s="6" t="s">
        <v>82</v>
      </c>
      <c r="F719" s="10">
        <v>1</v>
      </c>
      <c r="G719" s="7">
        <v>149.25</v>
      </c>
      <c r="H719" s="7">
        <v>149.25</v>
      </c>
      <c r="I719" s="1" t="str">
        <f>HYPERLINK("http://slimages.macys.com/is/image/MCY/9718327 ")</f>
        <v xml:space="preserve">http://slimages.macys.com/is/image/MCY/9718327 </v>
      </c>
    </row>
    <row r="720" spans="1:9" x14ac:dyDescent="0.2">
      <c r="A720" s="3">
        <v>11342111</v>
      </c>
      <c r="B720" s="3">
        <v>887986109756</v>
      </c>
      <c r="C720" s="5" t="s">
        <v>21</v>
      </c>
      <c r="D720" s="4" t="s">
        <v>287</v>
      </c>
      <c r="E720" s="6" t="s">
        <v>85</v>
      </c>
      <c r="F720" s="10">
        <v>1</v>
      </c>
      <c r="G720" s="7">
        <v>149</v>
      </c>
      <c r="H720" s="7">
        <v>149</v>
      </c>
      <c r="I720" s="1" t="str">
        <f>HYPERLINK("http://slimages.macys.com/is/image/MCY/9549473 ")</f>
        <v xml:space="preserve">http://slimages.macys.com/is/image/MCY/9549473 </v>
      </c>
    </row>
    <row r="721" spans="1:9" x14ac:dyDescent="0.2">
      <c r="A721" s="3">
        <v>11342111</v>
      </c>
      <c r="B721" s="3">
        <v>882256333022</v>
      </c>
      <c r="C721" s="5" t="s">
        <v>22</v>
      </c>
      <c r="D721" s="4" t="s">
        <v>81</v>
      </c>
      <c r="E721" s="6" t="s">
        <v>85</v>
      </c>
      <c r="F721" s="10">
        <v>1</v>
      </c>
      <c r="G721" s="7">
        <v>149</v>
      </c>
      <c r="H721" s="7">
        <v>149</v>
      </c>
      <c r="I721" s="1" t="str">
        <f>HYPERLINK("http://slimages.macys.com/is/image/MCY/8937028 ")</f>
        <v xml:space="preserve">http://slimages.macys.com/is/image/MCY/8937028 </v>
      </c>
    </row>
    <row r="722" spans="1:9" x14ac:dyDescent="0.2">
      <c r="A722" s="3">
        <v>11342111</v>
      </c>
      <c r="B722" s="3">
        <v>191797500214</v>
      </c>
      <c r="C722" s="5" t="s">
        <v>164</v>
      </c>
      <c r="D722" s="4" t="s">
        <v>100</v>
      </c>
      <c r="E722" s="6" t="s">
        <v>85</v>
      </c>
      <c r="F722" s="10">
        <v>3</v>
      </c>
      <c r="G722" s="7">
        <v>148</v>
      </c>
      <c r="H722" s="7">
        <v>444</v>
      </c>
      <c r="I722" s="1" t="str">
        <f>HYPERLINK("http://slimages.macys.com/is/image/MCY/9126620 ")</f>
        <v xml:space="preserve">http://slimages.macys.com/is/image/MCY/9126620 </v>
      </c>
    </row>
    <row r="723" spans="1:9" x14ac:dyDescent="0.2">
      <c r="A723" s="3">
        <v>11342111</v>
      </c>
      <c r="B723" s="3">
        <v>190466175180</v>
      </c>
      <c r="C723" s="5" t="s">
        <v>514</v>
      </c>
      <c r="D723" s="4" t="s">
        <v>107</v>
      </c>
      <c r="E723" s="6" t="s">
        <v>85</v>
      </c>
      <c r="F723" s="10">
        <v>1</v>
      </c>
      <c r="G723" s="7">
        <v>148</v>
      </c>
      <c r="H723" s="7">
        <v>148</v>
      </c>
      <c r="I723" s="1" t="str">
        <f>HYPERLINK("http://slimages.macys.com/is/image/MCY/9552933 ")</f>
        <v xml:space="preserve">http://slimages.macys.com/is/image/MCY/9552933 </v>
      </c>
    </row>
    <row r="724" spans="1:9" x14ac:dyDescent="0.2">
      <c r="A724" s="3">
        <v>11342111</v>
      </c>
      <c r="B724" s="3">
        <v>723764556339</v>
      </c>
      <c r="C724" s="5" t="s">
        <v>23</v>
      </c>
      <c r="D724" s="4" t="s">
        <v>81</v>
      </c>
      <c r="E724" s="6" t="s">
        <v>82</v>
      </c>
      <c r="F724" s="10">
        <v>1</v>
      </c>
      <c r="G724" s="7">
        <v>148</v>
      </c>
      <c r="H724" s="7">
        <v>148</v>
      </c>
      <c r="I724" s="1" t="str">
        <f>HYPERLINK("http://slimages.macys.com/is/image/MCY/9441325 ")</f>
        <v xml:space="preserve">http://slimages.macys.com/is/image/MCY/9441325 </v>
      </c>
    </row>
    <row r="725" spans="1:9" x14ac:dyDescent="0.2">
      <c r="A725" s="3">
        <v>11342111</v>
      </c>
      <c r="B725" s="3">
        <v>191202219113</v>
      </c>
      <c r="C725" s="5" t="s">
        <v>24</v>
      </c>
      <c r="D725" s="4" t="s">
        <v>166</v>
      </c>
      <c r="E725" s="6" t="s">
        <v>82</v>
      </c>
      <c r="F725" s="10">
        <v>1</v>
      </c>
      <c r="G725" s="7">
        <v>145</v>
      </c>
      <c r="H725" s="7">
        <v>145</v>
      </c>
      <c r="I725" s="1" t="str">
        <f>HYPERLINK("http://slimages.macys.com/is/image/MCY/9322738 ")</f>
        <v xml:space="preserve">http://slimages.macys.com/is/image/MCY/9322738 </v>
      </c>
    </row>
    <row r="726" spans="1:9" x14ac:dyDescent="0.2">
      <c r="A726" s="3">
        <v>11342111</v>
      </c>
      <c r="B726" s="3">
        <v>190466175029</v>
      </c>
      <c r="C726" s="5" t="s">
        <v>25</v>
      </c>
      <c r="D726" s="4" t="s">
        <v>81</v>
      </c>
      <c r="E726" s="6" t="s">
        <v>85</v>
      </c>
      <c r="F726" s="10">
        <v>1</v>
      </c>
      <c r="G726" s="7">
        <v>138</v>
      </c>
      <c r="H726" s="7">
        <v>138</v>
      </c>
      <c r="I726" s="1" t="str">
        <f>HYPERLINK("http://slimages.macys.com/is/image/MCY/8862838 ")</f>
        <v xml:space="preserve">http://slimages.macys.com/is/image/MCY/8862838 </v>
      </c>
    </row>
    <row r="727" spans="1:9" x14ac:dyDescent="0.2">
      <c r="A727" s="3">
        <v>11342111</v>
      </c>
      <c r="B727" s="3">
        <v>802892717123</v>
      </c>
      <c r="C727" s="5" t="s">
        <v>26</v>
      </c>
      <c r="D727" s="4" t="s">
        <v>89</v>
      </c>
      <c r="E727" s="6" t="s">
        <v>85</v>
      </c>
      <c r="F727" s="10">
        <v>1</v>
      </c>
      <c r="G727" s="7">
        <v>138</v>
      </c>
      <c r="H727" s="7">
        <v>138</v>
      </c>
      <c r="I727" s="1"/>
    </row>
    <row r="728" spans="1:9" x14ac:dyDescent="0.2">
      <c r="A728" s="3">
        <v>11342111</v>
      </c>
      <c r="B728" s="3">
        <v>711640588284</v>
      </c>
      <c r="C728" s="5" t="s">
        <v>170</v>
      </c>
      <c r="D728" s="4"/>
      <c r="E728" s="6" t="s">
        <v>82</v>
      </c>
      <c r="F728" s="10">
        <v>2</v>
      </c>
      <c r="G728" s="7">
        <v>134.25</v>
      </c>
      <c r="H728" s="7">
        <v>268.5</v>
      </c>
      <c r="I728" s="1" t="str">
        <f>HYPERLINK("http://slimages.macys.com/is/image/MCY/9382409 ")</f>
        <v xml:space="preserve">http://slimages.macys.com/is/image/MCY/9382409 </v>
      </c>
    </row>
    <row r="729" spans="1:9" x14ac:dyDescent="0.2">
      <c r="A729" s="3">
        <v>11342111</v>
      </c>
      <c r="B729" s="3">
        <v>799344407155</v>
      </c>
      <c r="C729" s="5" t="s">
        <v>27</v>
      </c>
      <c r="D729" s="4" t="s">
        <v>155</v>
      </c>
      <c r="E729" s="6" t="s">
        <v>85</v>
      </c>
      <c r="F729" s="10">
        <v>1</v>
      </c>
      <c r="G729" s="7">
        <v>129</v>
      </c>
      <c r="H729" s="7">
        <v>129</v>
      </c>
      <c r="I729" s="1" t="str">
        <f>HYPERLINK("http://slimages.macys.com/is/image/MCY/1939959 ")</f>
        <v xml:space="preserve">http://slimages.macys.com/is/image/MCY/1939959 </v>
      </c>
    </row>
    <row r="730" spans="1:9" x14ac:dyDescent="0.2">
      <c r="A730" s="3">
        <v>11342111</v>
      </c>
      <c r="B730" s="3">
        <v>887986093086</v>
      </c>
      <c r="C730" s="5" t="s">
        <v>28</v>
      </c>
      <c r="D730" s="4" t="s">
        <v>81</v>
      </c>
      <c r="E730" s="6" t="s">
        <v>85</v>
      </c>
      <c r="F730" s="10">
        <v>1</v>
      </c>
      <c r="G730" s="7">
        <v>129</v>
      </c>
      <c r="H730" s="7">
        <v>129</v>
      </c>
      <c r="I730" s="1" t="str">
        <f>HYPERLINK("http://slimages.macys.com/is/image/MCY/9816281 ")</f>
        <v xml:space="preserve">http://slimages.macys.com/is/image/MCY/9816281 </v>
      </c>
    </row>
    <row r="731" spans="1:9" x14ac:dyDescent="0.2">
      <c r="A731" s="3">
        <v>11342111</v>
      </c>
      <c r="B731" s="3">
        <v>719220853791</v>
      </c>
      <c r="C731" s="5" t="s">
        <v>29</v>
      </c>
      <c r="D731" s="4" t="s">
        <v>184</v>
      </c>
      <c r="E731" s="6" t="s">
        <v>85</v>
      </c>
      <c r="F731" s="10">
        <v>1</v>
      </c>
      <c r="G731" s="7">
        <v>128</v>
      </c>
      <c r="H731" s="7">
        <v>128</v>
      </c>
      <c r="I731" s="1" t="str">
        <f>HYPERLINK("http://slimages.macys.com/is/image/MCY/8824059 ")</f>
        <v xml:space="preserve">http://slimages.macys.com/is/image/MCY/8824059 </v>
      </c>
    </row>
    <row r="732" spans="1:9" x14ac:dyDescent="0.2">
      <c r="A732" s="3">
        <v>11342111</v>
      </c>
      <c r="B732" s="3">
        <v>190049149119</v>
      </c>
      <c r="C732" s="5" t="s">
        <v>177</v>
      </c>
      <c r="D732" s="4" t="s">
        <v>138</v>
      </c>
      <c r="E732" s="6" t="s">
        <v>82</v>
      </c>
      <c r="F732" s="10">
        <v>1</v>
      </c>
      <c r="G732" s="7">
        <v>128</v>
      </c>
      <c r="H732" s="7">
        <v>128</v>
      </c>
      <c r="I732" s="1" t="str">
        <f>HYPERLINK("http://slimages.macys.com/is/image/MCY/2825124 ")</f>
        <v xml:space="preserve">http://slimages.macys.com/is/image/MCY/2825124 </v>
      </c>
    </row>
    <row r="733" spans="1:9" x14ac:dyDescent="0.2">
      <c r="A733" s="3">
        <v>11342111</v>
      </c>
      <c r="B733" s="3">
        <v>883820939961</v>
      </c>
      <c r="C733" s="5" t="s">
        <v>30</v>
      </c>
      <c r="D733" s="4" t="s">
        <v>109</v>
      </c>
      <c r="E733" s="6" t="s">
        <v>85</v>
      </c>
      <c r="F733" s="10">
        <v>1</v>
      </c>
      <c r="G733" s="7">
        <v>128</v>
      </c>
      <c r="H733" s="7">
        <v>128</v>
      </c>
      <c r="I733" s="1" t="str">
        <f>HYPERLINK("http://slimages.macys.com/is/image/MCY/9455960 ")</f>
        <v xml:space="preserve">http://slimages.macys.com/is/image/MCY/9455960 </v>
      </c>
    </row>
    <row r="734" spans="1:9" x14ac:dyDescent="0.2">
      <c r="A734" s="3">
        <v>11342111</v>
      </c>
      <c r="B734" s="3">
        <v>889487343431</v>
      </c>
      <c r="C734" s="5" t="s">
        <v>31</v>
      </c>
      <c r="D734" s="4" t="s">
        <v>205</v>
      </c>
      <c r="E734" s="6" t="s">
        <v>85</v>
      </c>
      <c r="F734" s="10">
        <v>1</v>
      </c>
      <c r="G734" s="7">
        <v>128</v>
      </c>
      <c r="H734" s="7">
        <v>128</v>
      </c>
      <c r="I734" s="1" t="str">
        <f>HYPERLINK("http://slimages.macys.com/is/image/MCY/9455174 ")</f>
        <v xml:space="preserve">http://slimages.macys.com/is/image/MCY/9455174 </v>
      </c>
    </row>
    <row r="735" spans="1:9" x14ac:dyDescent="0.2">
      <c r="A735" s="3">
        <v>11342111</v>
      </c>
      <c r="B735" s="3">
        <v>799344615925</v>
      </c>
      <c r="C735" s="5" t="s">
        <v>32</v>
      </c>
      <c r="D735" s="4" t="s">
        <v>109</v>
      </c>
      <c r="E735" s="6" t="s">
        <v>85</v>
      </c>
      <c r="F735" s="10">
        <v>1</v>
      </c>
      <c r="G735" s="7">
        <v>128</v>
      </c>
      <c r="H735" s="7">
        <v>128</v>
      </c>
      <c r="I735" s="1" t="str">
        <f>HYPERLINK("http://slimages.macys.com/is/image/MCY/3382470 ")</f>
        <v xml:space="preserve">http://slimages.macys.com/is/image/MCY/3382470 </v>
      </c>
    </row>
    <row r="736" spans="1:9" x14ac:dyDescent="0.2">
      <c r="A736" s="3">
        <v>11342111</v>
      </c>
      <c r="B736" s="3">
        <v>5025546385737</v>
      </c>
      <c r="C736" s="5" t="s">
        <v>33</v>
      </c>
      <c r="D736" s="4" t="s">
        <v>184</v>
      </c>
      <c r="E736" s="6" t="s">
        <v>132</v>
      </c>
      <c r="F736" s="10">
        <v>1</v>
      </c>
      <c r="G736" s="7">
        <v>125</v>
      </c>
      <c r="H736" s="7">
        <v>125</v>
      </c>
      <c r="I736" s="1" t="str">
        <f>HYPERLINK("http://slimages.macys.com/is/image/MCY/9660951 ")</f>
        <v xml:space="preserve">http://slimages.macys.com/is/image/MCY/9660951 </v>
      </c>
    </row>
    <row r="737" spans="1:9" x14ac:dyDescent="0.2">
      <c r="A737" s="3">
        <v>11342111</v>
      </c>
      <c r="B737" s="3">
        <v>191267078267</v>
      </c>
      <c r="C737" s="5" t="s">
        <v>34</v>
      </c>
      <c r="D737" s="4" t="s">
        <v>81</v>
      </c>
      <c r="E737" s="6" t="s">
        <v>85</v>
      </c>
      <c r="F737" s="10">
        <v>1</v>
      </c>
      <c r="G737" s="7">
        <v>125</v>
      </c>
      <c r="H737" s="7">
        <v>125</v>
      </c>
      <c r="I737" s="1"/>
    </row>
    <row r="738" spans="1:9" x14ac:dyDescent="0.2">
      <c r="A738" s="3">
        <v>11342111</v>
      </c>
      <c r="B738" s="3">
        <v>190466804516</v>
      </c>
      <c r="C738" s="5" t="s">
        <v>35</v>
      </c>
      <c r="D738" s="4" t="s">
        <v>135</v>
      </c>
      <c r="E738" s="6" t="s">
        <v>85</v>
      </c>
      <c r="F738" s="10">
        <v>1</v>
      </c>
      <c r="G738" s="7">
        <v>118</v>
      </c>
      <c r="H738" s="7">
        <v>118</v>
      </c>
      <c r="I738" s="1" t="str">
        <f>HYPERLINK("http://slimages.macys.com/is/image/MCY/8314831 ")</f>
        <v xml:space="preserve">http://slimages.macys.com/is/image/MCY/8314831 </v>
      </c>
    </row>
    <row r="739" spans="1:9" x14ac:dyDescent="0.2">
      <c r="A739" s="3">
        <v>11342111</v>
      </c>
      <c r="B739" s="3">
        <v>190231116523</v>
      </c>
      <c r="C739" s="5" t="s">
        <v>36</v>
      </c>
      <c r="D739" s="4" t="s">
        <v>100</v>
      </c>
      <c r="E739" s="6" t="s">
        <v>85</v>
      </c>
      <c r="F739" s="10">
        <v>2</v>
      </c>
      <c r="G739" s="7">
        <v>118</v>
      </c>
      <c r="H739" s="7">
        <v>236</v>
      </c>
      <c r="I739" s="1" t="str">
        <f>HYPERLINK("http://slimages.macys.com/is/image/MCY/9519250 ")</f>
        <v xml:space="preserve">http://slimages.macys.com/is/image/MCY/9519250 </v>
      </c>
    </row>
    <row r="740" spans="1:9" x14ac:dyDescent="0.2">
      <c r="A740" s="3">
        <v>11342111</v>
      </c>
      <c r="B740" s="3">
        <v>889487260240</v>
      </c>
      <c r="C740" s="5" t="s">
        <v>37</v>
      </c>
      <c r="D740" s="4" t="s">
        <v>155</v>
      </c>
      <c r="E740" s="6" t="s">
        <v>85</v>
      </c>
      <c r="F740" s="10">
        <v>1</v>
      </c>
      <c r="G740" s="7">
        <v>118</v>
      </c>
      <c r="H740" s="7">
        <v>118</v>
      </c>
      <c r="I740" s="1" t="str">
        <f>HYPERLINK("http://slimages.macys.com/is/image/MCY/8684698 ")</f>
        <v xml:space="preserve">http://slimages.macys.com/is/image/MCY/8684698 </v>
      </c>
    </row>
    <row r="741" spans="1:9" x14ac:dyDescent="0.2">
      <c r="A741" s="3">
        <v>11342111</v>
      </c>
      <c r="B741" s="3">
        <v>889487265207</v>
      </c>
      <c r="C741" s="5" t="s">
        <v>38</v>
      </c>
      <c r="D741" s="4" t="s">
        <v>153</v>
      </c>
      <c r="E741" s="6" t="s">
        <v>85</v>
      </c>
      <c r="F741" s="10">
        <v>1</v>
      </c>
      <c r="G741" s="7">
        <v>118</v>
      </c>
      <c r="H741" s="7">
        <v>118</v>
      </c>
      <c r="I741" s="1" t="str">
        <f>HYPERLINK("http://slimages.macys.com/is/image/MCY/8802795 ")</f>
        <v xml:space="preserve">http://slimages.macys.com/is/image/MCY/8802795 </v>
      </c>
    </row>
    <row r="742" spans="1:9" x14ac:dyDescent="0.2">
      <c r="A742" s="3">
        <v>11342111</v>
      </c>
      <c r="B742" s="3">
        <v>889487265214</v>
      </c>
      <c r="C742" s="5" t="s">
        <v>39</v>
      </c>
      <c r="D742" s="4" t="s">
        <v>125</v>
      </c>
      <c r="E742" s="6" t="s">
        <v>85</v>
      </c>
      <c r="F742" s="10">
        <v>1</v>
      </c>
      <c r="G742" s="7">
        <v>118</v>
      </c>
      <c r="H742" s="7">
        <v>118</v>
      </c>
      <c r="I742" s="1" t="str">
        <f>HYPERLINK("http://slimages.macys.com/is/image/MCY/8802795 ")</f>
        <v xml:space="preserve">http://slimages.macys.com/is/image/MCY/8802795 </v>
      </c>
    </row>
    <row r="743" spans="1:9" x14ac:dyDescent="0.2">
      <c r="A743" s="3">
        <v>11342111</v>
      </c>
      <c r="B743" s="3">
        <v>706258129608</v>
      </c>
      <c r="C743" s="5" t="s">
        <v>40</v>
      </c>
      <c r="D743" s="4" t="s">
        <v>194</v>
      </c>
      <c r="E743" s="6" t="s">
        <v>85</v>
      </c>
      <c r="F743" s="10">
        <v>2</v>
      </c>
      <c r="G743" s="7">
        <v>109.5</v>
      </c>
      <c r="H743" s="7">
        <v>219</v>
      </c>
      <c r="I743" s="1" t="str">
        <f>HYPERLINK("http://slimages.macys.com/is/image/MCY/8375081 ")</f>
        <v xml:space="preserve">http://slimages.macys.com/is/image/MCY/8375081 </v>
      </c>
    </row>
    <row r="744" spans="1:9" x14ac:dyDescent="0.2">
      <c r="A744" s="3">
        <v>11342111</v>
      </c>
      <c r="B744" s="3">
        <v>191262182792</v>
      </c>
      <c r="C744" s="5" t="s">
        <v>41</v>
      </c>
      <c r="D744" s="4" t="s">
        <v>168</v>
      </c>
      <c r="E744" s="6" t="s">
        <v>82</v>
      </c>
      <c r="F744" s="10">
        <v>1</v>
      </c>
      <c r="G744" s="7">
        <v>108</v>
      </c>
      <c r="H744" s="7">
        <v>108</v>
      </c>
      <c r="I744" s="1" t="str">
        <f>HYPERLINK("http://slimages.macys.com/is/image/MCY/9987620 ")</f>
        <v xml:space="preserve">http://slimages.macys.com/is/image/MCY/9987620 </v>
      </c>
    </row>
    <row r="745" spans="1:9" x14ac:dyDescent="0.2">
      <c r="A745" s="3">
        <v>11342111</v>
      </c>
      <c r="B745" s="3">
        <v>191935678973</v>
      </c>
      <c r="C745" s="5" t="s">
        <v>42</v>
      </c>
      <c r="D745" s="4" t="s">
        <v>98</v>
      </c>
      <c r="E745" s="6" t="s">
        <v>82</v>
      </c>
      <c r="F745" s="10">
        <v>1</v>
      </c>
      <c r="G745" s="7">
        <v>108</v>
      </c>
      <c r="H745" s="7">
        <v>108</v>
      </c>
      <c r="I745" s="1" t="str">
        <f>HYPERLINK("http://slimages.macys.com/is/image/MCY/8866110 ")</f>
        <v xml:space="preserve">http://slimages.macys.com/is/image/MCY/8866110 </v>
      </c>
    </row>
    <row r="746" spans="1:9" x14ac:dyDescent="0.2">
      <c r="A746" s="3">
        <v>11342111</v>
      </c>
      <c r="B746" s="3">
        <v>889487294580</v>
      </c>
      <c r="C746" s="5" t="s">
        <v>43</v>
      </c>
      <c r="D746" s="4" t="s">
        <v>172</v>
      </c>
      <c r="E746" s="6" t="s">
        <v>85</v>
      </c>
      <c r="F746" s="10">
        <v>8</v>
      </c>
      <c r="G746" s="7">
        <v>108</v>
      </c>
      <c r="H746" s="7">
        <v>864</v>
      </c>
      <c r="I746" s="1" t="str">
        <f>HYPERLINK("http://slimages.macys.com/is/image/MCY/8869397 ")</f>
        <v xml:space="preserve">http://slimages.macys.com/is/image/MCY/8869397 </v>
      </c>
    </row>
    <row r="747" spans="1:9" x14ac:dyDescent="0.2">
      <c r="A747" s="3">
        <v>11342111</v>
      </c>
      <c r="B747" s="3">
        <v>191267269207</v>
      </c>
      <c r="C747" s="5" t="s">
        <v>44</v>
      </c>
      <c r="D747" s="4" t="s">
        <v>100</v>
      </c>
      <c r="E747" s="6" t="s">
        <v>85</v>
      </c>
      <c r="F747" s="10">
        <v>1</v>
      </c>
      <c r="G747" s="7">
        <v>95</v>
      </c>
      <c r="H747" s="7">
        <v>95</v>
      </c>
      <c r="I747" s="1"/>
    </row>
    <row r="748" spans="1:9" x14ac:dyDescent="0.2">
      <c r="A748" s="3">
        <v>11342111</v>
      </c>
      <c r="B748" s="3">
        <v>886003366318</v>
      </c>
      <c r="C748" s="5" t="s">
        <v>45</v>
      </c>
      <c r="D748" s="4" t="s">
        <v>691</v>
      </c>
      <c r="E748" s="6" t="s">
        <v>82</v>
      </c>
      <c r="F748" s="10">
        <v>1</v>
      </c>
      <c r="G748" s="7">
        <v>88</v>
      </c>
      <c r="H748" s="7">
        <v>88</v>
      </c>
      <c r="I748" s="1" t="str">
        <f>HYPERLINK("http://slimages.macys.com/is/image/MCY/8138349 ")</f>
        <v xml:space="preserve">http://slimages.macys.com/is/image/MCY/8138349 </v>
      </c>
    </row>
    <row r="749" spans="1:9" x14ac:dyDescent="0.2">
      <c r="A749" s="3">
        <v>11342111</v>
      </c>
      <c r="B749" s="3">
        <v>889487296812</v>
      </c>
      <c r="C749" s="5" t="s">
        <v>406</v>
      </c>
      <c r="D749" s="4" t="s">
        <v>81</v>
      </c>
      <c r="E749" s="6" t="s">
        <v>85</v>
      </c>
      <c r="F749" s="10">
        <v>1</v>
      </c>
      <c r="G749" s="7">
        <v>88</v>
      </c>
      <c r="H749" s="7">
        <v>88</v>
      </c>
      <c r="I749" s="1" t="str">
        <f>HYPERLINK("http://slimages.macys.com/is/image/MCY/8869381 ")</f>
        <v xml:space="preserve">http://slimages.macys.com/is/image/MCY/8869381 </v>
      </c>
    </row>
    <row r="750" spans="1:9" x14ac:dyDescent="0.2">
      <c r="A750" s="3">
        <v>11342111</v>
      </c>
      <c r="B750" s="3">
        <v>889487297505</v>
      </c>
      <c r="C750" s="5" t="s">
        <v>547</v>
      </c>
      <c r="D750" s="4" t="s">
        <v>81</v>
      </c>
      <c r="E750" s="6" t="s">
        <v>85</v>
      </c>
      <c r="F750" s="10">
        <v>4</v>
      </c>
      <c r="G750" s="7">
        <v>88</v>
      </c>
      <c r="H750" s="7">
        <v>352</v>
      </c>
      <c r="I750" s="1" t="str">
        <f>HYPERLINK("http://slimages.macys.com/is/image/MCY/9051825 ")</f>
        <v xml:space="preserve">http://slimages.macys.com/is/image/MCY/9051825 </v>
      </c>
    </row>
    <row r="751" spans="1:9" x14ac:dyDescent="0.2">
      <c r="A751" s="3">
        <v>11342111</v>
      </c>
      <c r="B751" s="3">
        <v>889487378518</v>
      </c>
      <c r="C751" s="5" t="s">
        <v>206</v>
      </c>
      <c r="D751" s="4" t="s">
        <v>98</v>
      </c>
      <c r="E751" s="6" t="s">
        <v>85</v>
      </c>
      <c r="F751" s="10">
        <v>1</v>
      </c>
      <c r="G751" s="7">
        <v>88</v>
      </c>
      <c r="H751" s="7">
        <v>88</v>
      </c>
      <c r="I751" s="1" t="str">
        <f>HYPERLINK("http://slimages.macys.com/is/image/MCY/9455276 ")</f>
        <v xml:space="preserve">http://slimages.macys.com/is/image/MCY/9455276 </v>
      </c>
    </row>
    <row r="752" spans="1:9" x14ac:dyDescent="0.2">
      <c r="A752" s="3">
        <v>11342111</v>
      </c>
      <c r="B752" s="3">
        <v>889487304166</v>
      </c>
      <c r="C752" s="5" t="s">
        <v>208</v>
      </c>
      <c r="D752" s="4" t="s">
        <v>172</v>
      </c>
      <c r="E752" s="6" t="s">
        <v>85</v>
      </c>
      <c r="F752" s="10">
        <v>1</v>
      </c>
      <c r="G752" s="7">
        <v>88</v>
      </c>
      <c r="H752" s="7">
        <v>88</v>
      </c>
      <c r="I752" s="1" t="str">
        <f>HYPERLINK("http://slimages.macys.com/is/image/MCY/8869438 ")</f>
        <v xml:space="preserve">http://slimages.macys.com/is/image/MCY/8869438 </v>
      </c>
    </row>
    <row r="753" spans="1:9" x14ac:dyDescent="0.2">
      <c r="A753" s="3">
        <v>11342111</v>
      </c>
      <c r="B753" s="3">
        <v>889487304159</v>
      </c>
      <c r="C753" s="5" t="s">
        <v>627</v>
      </c>
      <c r="D753" s="4" t="s">
        <v>109</v>
      </c>
      <c r="E753" s="6" t="s">
        <v>85</v>
      </c>
      <c r="F753" s="10">
        <v>1</v>
      </c>
      <c r="G753" s="7">
        <v>88</v>
      </c>
      <c r="H753" s="7">
        <v>88</v>
      </c>
      <c r="I753" s="1" t="str">
        <f>HYPERLINK("http://slimages.macys.com/is/image/MCY/8869438 ")</f>
        <v xml:space="preserve">http://slimages.macys.com/is/image/MCY/8869438 </v>
      </c>
    </row>
    <row r="754" spans="1:9" x14ac:dyDescent="0.2">
      <c r="A754" s="3">
        <v>11342111</v>
      </c>
      <c r="B754" s="3">
        <v>706257706817</v>
      </c>
      <c r="C754" s="5" t="s">
        <v>46</v>
      </c>
      <c r="D754" s="4" t="s">
        <v>100</v>
      </c>
      <c r="E754" s="6" t="s">
        <v>85</v>
      </c>
      <c r="F754" s="10">
        <v>2</v>
      </c>
      <c r="G754" s="7">
        <v>79.5</v>
      </c>
      <c r="H754" s="7">
        <v>159</v>
      </c>
      <c r="I754" s="1" t="str">
        <f>HYPERLINK("http://slimages.macys.com/is/image/MCY/8209943 ")</f>
        <v xml:space="preserve">http://slimages.macys.com/is/image/MCY/8209943 </v>
      </c>
    </row>
    <row r="755" spans="1:9" x14ac:dyDescent="0.2">
      <c r="A755" s="3">
        <v>11342111</v>
      </c>
      <c r="B755" s="3">
        <v>715676023511</v>
      </c>
      <c r="C755" s="5" t="s">
        <v>628</v>
      </c>
      <c r="D755" s="4" t="s">
        <v>184</v>
      </c>
      <c r="E755" s="6" t="s">
        <v>85</v>
      </c>
      <c r="F755" s="10">
        <v>2</v>
      </c>
      <c r="G755" s="7">
        <v>78</v>
      </c>
      <c r="H755" s="7">
        <v>156</v>
      </c>
      <c r="I755" s="1" t="str">
        <f>HYPERLINK("http://slimages.macys.com/is/image/MCY/9612853 ")</f>
        <v xml:space="preserve">http://slimages.macys.com/is/image/MCY/9612853 </v>
      </c>
    </row>
    <row r="756" spans="1:9" x14ac:dyDescent="0.2">
      <c r="A756" s="3">
        <v>11342111</v>
      </c>
      <c r="B756" s="3">
        <v>715676023528</v>
      </c>
      <c r="C756" s="5" t="s">
        <v>629</v>
      </c>
      <c r="D756" s="4" t="s">
        <v>279</v>
      </c>
      <c r="E756" s="6" t="s">
        <v>85</v>
      </c>
      <c r="F756" s="10">
        <v>2</v>
      </c>
      <c r="G756" s="7">
        <v>78</v>
      </c>
      <c r="H756" s="7">
        <v>156</v>
      </c>
      <c r="I756" s="1" t="str">
        <f>HYPERLINK("http://slimages.macys.com/is/image/MCY/9612853 ")</f>
        <v xml:space="preserve">http://slimages.macys.com/is/image/MCY/9612853 </v>
      </c>
    </row>
    <row r="757" spans="1:9" x14ac:dyDescent="0.2">
      <c r="A757" s="3">
        <v>11342111</v>
      </c>
      <c r="B757" s="3">
        <v>889487301035</v>
      </c>
      <c r="C757" s="5" t="s">
        <v>47</v>
      </c>
      <c r="D757" s="4" t="s">
        <v>81</v>
      </c>
      <c r="E757" s="6" t="s">
        <v>85</v>
      </c>
      <c r="F757" s="10">
        <v>1</v>
      </c>
      <c r="G757" s="7">
        <v>78</v>
      </c>
      <c r="H757" s="7">
        <v>78</v>
      </c>
      <c r="I757" s="1" t="str">
        <f>HYPERLINK("http://slimages.macys.com/is/image/MCY/8869416 ")</f>
        <v xml:space="preserve">http://slimages.macys.com/is/image/MCY/8869416 </v>
      </c>
    </row>
    <row r="758" spans="1:9" x14ac:dyDescent="0.2">
      <c r="A758" s="3">
        <v>11342111</v>
      </c>
      <c r="B758" s="3">
        <v>889487271444</v>
      </c>
      <c r="C758" s="5" t="s">
        <v>48</v>
      </c>
      <c r="D758" s="4" t="s">
        <v>172</v>
      </c>
      <c r="E758" s="6" t="s">
        <v>85</v>
      </c>
      <c r="F758" s="10">
        <v>2</v>
      </c>
      <c r="G758" s="7">
        <v>78</v>
      </c>
      <c r="H758" s="7">
        <v>156</v>
      </c>
      <c r="I758" s="1" t="str">
        <f>HYPERLINK("http://slimages.macys.com/is/image/MCY/8803768 ")</f>
        <v xml:space="preserve">http://slimages.macys.com/is/image/MCY/8803768 </v>
      </c>
    </row>
    <row r="759" spans="1:9" x14ac:dyDescent="0.2">
      <c r="A759" s="3">
        <v>11342111</v>
      </c>
      <c r="B759" s="3">
        <v>889487384991</v>
      </c>
      <c r="C759" s="5" t="s">
        <v>49</v>
      </c>
      <c r="D759" s="4" t="s">
        <v>205</v>
      </c>
      <c r="E759" s="6" t="s">
        <v>85</v>
      </c>
      <c r="F759" s="10">
        <v>1</v>
      </c>
      <c r="G759" s="7">
        <v>78</v>
      </c>
      <c r="H759" s="7">
        <v>78</v>
      </c>
      <c r="I759" s="1" t="str">
        <f>HYPERLINK("http://slimages.macys.com/is/image/MCY/9578308 ")</f>
        <v xml:space="preserve">http://slimages.macys.com/is/image/MCY/9578308 </v>
      </c>
    </row>
    <row r="760" spans="1:9" x14ac:dyDescent="0.2">
      <c r="A760" s="3">
        <v>11342111</v>
      </c>
      <c r="B760" s="3">
        <v>889487236658</v>
      </c>
      <c r="C760" s="5" t="s">
        <v>50</v>
      </c>
      <c r="D760" s="4" t="s">
        <v>155</v>
      </c>
      <c r="E760" s="6" t="s">
        <v>85</v>
      </c>
      <c r="F760" s="10">
        <v>2</v>
      </c>
      <c r="G760" s="7">
        <v>78</v>
      </c>
      <c r="H760" s="7">
        <v>156</v>
      </c>
      <c r="I760" s="1" t="str">
        <f>HYPERLINK("http://slimages.macys.com/is/image/MCY/8803712 ")</f>
        <v xml:space="preserve">http://slimages.macys.com/is/image/MCY/8803712 </v>
      </c>
    </row>
    <row r="761" spans="1:9" x14ac:dyDescent="0.2">
      <c r="A761" s="3">
        <v>11342111</v>
      </c>
      <c r="B761" s="3">
        <v>745021257889</v>
      </c>
      <c r="C761" s="5" t="s">
        <v>427</v>
      </c>
      <c r="D761" s="4" t="s">
        <v>81</v>
      </c>
      <c r="E761" s="6" t="s">
        <v>85</v>
      </c>
      <c r="F761" s="10">
        <v>1</v>
      </c>
      <c r="G761" s="7">
        <v>69.22</v>
      </c>
      <c r="H761" s="7">
        <v>69.22</v>
      </c>
      <c r="I761" s="1" t="str">
        <f>HYPERLINK("http://slimages.macys.com/is/image/MCY/9657908 ")</f>
        <v xml:space="preserve">http://slimages.macys.com/is/image/MCY/9657908 </v>
      </c>
    </row>
    <row r="762" spans="1:9" x14ac:dyDescent="0.2">
      <c r="A762" s="3">
        <v>11342111</v>
      </c>
      <c r="B762" s="3">
        <v>887986088860</v>
      </c>
      <c r="C762" s="5" t="s">
        <v>562</v>
      </c>
      <c r="D762" s="4" t="s">
        <v>220</v>
      </c>
      <c r="E762" s="6" t="s">
        <v>85</v>
      </c>
      <c r="F762" s="10">
        <v>1</v>
      </c>
      <c r="G762" s="7">
        <v>69</v>
      </c>
      <c r="H762" s="7">
        <v>69</v>
      </c>
      <c r="I762" s="1" t="str">
        <f>HYPERLINK("http://slimages.macys.com/is/image/MCY/2949997 ")</f>
        <v xml:space="preserve">http://slimages.macys.com/is/image/MCY/2949997 </v>
      </c>
    </row>
    <row r="763" spans="1:9" x14ac:dyDescent="0.2">
      <c r="A763" s="3">
        <v>11342111</v>
      </c>
      <c r="B763" s="3">
        <v>886003510933</v>
      </c>
      <c r="C763" s="5" t="s">
        <v>565</v>
      </c>
      <c r="D763" s="4" t="s">
        <v>235</v>
      </c>
      <c r="E763" s="6" t="s">
        <v>82</v>
      </c>
      <c r="F763" s="10">
        <v>1</v>
      </c>
      <c r="G763" s="7">
        <v>68</v>
      </c>
      <c r="H763" s="7">
        <v>68</v>
      </c>
      <c r="I763" s="1" t="str">
        <f>HYPERLINK("http://slimages.macys.com/is/image/MCY/9421926 ")</f>
        <v xml:space="preserve">http://slimages.macys.com/is/image/MCY/9421926 </v>
      </c>
    </row>
    <row r="764" spans="1:9" x14ac:dyDescent="0.2">
      <c r="A764" s="3">
        <v>11342111</v>
      </c>
      <c r="B764" s="3">
        <v>715676140218</v>
      </c>
      <c r="C764" s="5" t="s">
        <v>566</v>
      </c>
      <c r="D764" s="4" t="s">
        <v>103</v>
      </c>
      <c r="E764" s="6" t="s">
        <v>85</v>
      </c>
      <c r="F764" s="10">
        <v>6</v>
      </c>
      <c r="G764" s="7">
        <v>68</v>
      </c>
      <c r="H764" s="7">
        <v>408</v>
      </c>
      <c r="I764" s="1" t="str">
        <f>HYPERLINK("http://slimages.macys.com/is/image/MCY/9612754 ")</f>
        <v xml:space="preserve">http://slimages.macys.com/is/image/MCY/9612754 </v>
      </c>
    </row>
    <row r="765" spans="1:9" x14ac:dyDescent="0.2">
      <c r="A765" s="3">
        <v>11342111</v>
      </c>
      <c r="B765" s="3">
        <v>711640566442</v>
      </c>
      <c r="C765" s="5" t="s">
        <v>51</v>
      </c>
      <c r="D765" s="4" t="s">
        <v>81</v>
      </c>
      <c r="E765" s="6" t="s">
        <v>82</v>
      </c>
      <c r="F765" s="10">
        <v>1</v>
      </c>
      <c r="G765" s="7">
        <v>66.75</v>
      </c>
      <c r="H765" s="7">
        <v>66.75</v>
      </c>
      <c r="I765" s="1" t="str">
        <f>HYPERLINK("http://slimages.macys.com/is/image/MCY/9394256 ")</f>
        <v xml:space="preserve">http://slimages.macys.com/is/image/MCY/9394256 </v>
      </c>
    </row>
    <row r="766" spans="1:9" x14ac:dyDescent="0.2">
      <c r="A766" s="3">
        <v>11342111</v>
      </c>
      <c r="B766" s="3">
        <v>711640566336</v>
      </c>
      <c r="C766" s="5" t="s">
        <v>52</v>
      </c>
      <c r="D766" s="4" t="s">
        <v>543</v>
      </c>
      <c r="E766" s="6" t="s">
        <v>82</v>
      </c>
      <c r="F766" s="10">
        <v>3</v>
      </c>
      <c r="G766" s="7">
        <v>66.75</v>
      </c>
      <c r="H766" s="7">
        <v>200.25</v>
      </c>
      <c r="I766" s="1" t="str">
        <f>HYPERLINK("http://slimages.macys.com/is/image/MCY/8396449 ")</f>
        <v xml:space="preserve">http://slimages.macys.com/is/image/MCY/8396449 </v>
      </c>
    </row>
    <row r="767" spans="1:9" x14ac:dyDescent="0.2">
      <c r="A767" s="3">
        <v>11342111</v>
      </c>
      <c r="B767" s="3">
        <v>886003495094</v>
      </c>
      <c r="C767" s="5" t="s">
        <v>53</v>
      </c>
      <c r="D767" s="4" t="s">
        <v>289</v>
      </c>
      <c r="E767" s="6" t="s">
        <v>82</v>
      </c>
      <c r="F767" s="10">
        <v>1</v>
      </c>
      <c r="G767" s="7">
        <v>64</v>
      </c>
      <c r="H767" s="7">
        <v>64</v>
      </c>
      <c r="I767" s="1" t="str">
        <f>HYPERLINK("http://slimages.macys.com/is/image/MCY/8218149 ")</f>
        <v xml:space="preserve">http://slimages.macys.com/is/image/MCY/8218149 </v>
      </c>
    </row>
    <row r="768" spans="1:9" x14ac:dyDescent="0.2">
      <c r="A768" s="3">
        <v>11342111</v>
      </c>
      <c r="B768" s="3">
        <v>720629053088</v>
      </c>
      <c r="C768" s="5" t="s">
        <v>54</v>
      </c>
      <c r="D768" s="4" t="s">
        <v>81</v>
      </c>
      <c r="E768" s="6" t="s">
        <v>85</v>
      </c>
      <c r="F768" s="10">
        <v>1</v>
      </c>
      <c r="G768" s="7">
        <v>61.44</v>
      </c>
      <c r="H768" s="7">
        <v>61.44</v>
      </c>
      <c r="I768" s="1" t="str">
        <f>HYPERLINK("http://slimages.macys.com/is/image/MCY/9042334 ")</f>
        <v xml:space="preserve">http://slimages.macys.com/is/image/MCY/9042334 </v>
      </c>
    </row>
    <row r="769" spans="1:9" x14ac:dyDescent="0.2">
      <c r="A769" s="3">
        <v>11342111</v>
      </c>
      <c r="B769" s="3">
        <v>886003487266</v>
      </c>
      <c r="C769" s="5" t="s">
        <v>55</v>
      </c>
      <c r="D769" s="4" t="s">
        <v>89</v>
      </c>
      <c r="E769" s="6" t="s">
        <v>82</v>
      </c>
      <c r="F769" s="10">
        <v>1</v>
      </c>
      <c r="G769" s="7">
        <v>58</v>
      </c>
      <c r="H769" s="7">
        <v>58</v>
      </c>
      <c r="I769" s="1" t="str">
        <f>HYPERLINK("http://slimages.macys.com/is/image/MCY/8763651 ")</f>
        <v xml:space="preserve">http://slimages.macys.com/is/image/MCY/8763651 </v>
      </c>
    </row>
    <row r="770" spans="1:9" x14ac:dyDescent="0.2">
      <c r="A770" s="3">
        <v>11342111</v>
      </c>
      <c r="B770" s="3">
        <v>709752121215</v>
      </c>
      <c r="C770" s="5" t="s">
        <v>56</v>
      </c>
      <c r="D770" s="4" t="s">
        <v>81</v>
      </c>
      <c r="E770" s="6" t="s">
        <v>82</v>
      </c>
      <c r="F770" s="10">
        <v>1</v>
      </c>
      <c r="G770" s="7">
        <v>58</v>
      </c>
      <c r="H770" s="7">
        <v>58</v>
      </c>
      <c r="I770" s="1" t="str">
        <f>HYPERLINK("http://slimages.macys.com/is/image/MCY/8317284 ")</f>
        <v xml:space="preserve">http://slimages.macys.com/is/image/MCY/8317284 </v>
      </c>
    </row>
    <row r="771" spans="1:9" x14ac:dyDescent="0.2">
      <c r="A771" s="3">
        <v>11342111</v>
      </c>
      <c r="B771" s="3">
        <v>886003499146</v>
      </c>
      <c r="C771" s="5" t="s">
        <v>57</v>
      </c>
      <c r="D771" s="4" t="s">
        <v>89</v>
      </c>
      <c r="E771" s="6" t="s">
        <v>82</v>
      </c>
      <c r="F771" s="10">
        <v>1</v>
      </c>
      <c r="G771" s="7">
        <v>54</v>
      </c>
      <c r="H771" s="7">
        <v>54</v>
      </c>
      <c r="I771" s="1" t="str">
        <f>HYPERLINK("http://slimages.macys.com/is/image/MCY/9750796 ")</f>
        <v xml:space="preserve">http://slimages.macys.com/is/image/MCY/9750796 </v>
      </c>
    </row>
    <row r="772" spans="1:9" x14ac:dyDescent="0.2">
      <c r="A772" s="3">
        <v>11342111</v>
      </c>
      <c r="B772" s="3">
        <v>711372748062</v>
      </c>
      <c r="C772" s="5" t="s">
        <v>58</v>
      </c>
      <c r="D772" s="4" t="s">
        <v>135</v>
      </c>
      <c r="E772" s="6" t="s">
        <v>85</v>
      </c>
      <c r="F772" s="10">
        <v>1</v>
      </c>
      <c r="G772" s="7">
        <v>53.1</v>
      </c>
      <c r="H772" s="7">
        <v>53.1</v>
      </c>
      <c r="I772" s="1" t="str">
        <f>HYPERLINK("http://slimages.macys.com/is/image/MCY/8094470 ")</f>
        <v xml:space="preserve">http://slimages.macys.com/is/image/MCY/8094470 </v>
      </c>
    </row>
    <row r="773" spans="1:9" x14ac:dyDescent="0.2">
      <c r="A773" s="3">
        <v>11342111</v>
      </c>
      <c r="B773" s="3">
        <v>887986070025</v>
      </c>
      <c r="C773" s="5" t="s">
        <v>59</v>
      </c>
      <c r="D773" s="4" t="s">
        <v>205</v>
      </c>
      <c r="E773" s="6" t="s">
        <v>85</v>
      </c>
      <c r="F773" s="10">
        <v>1</v>
      </c>
      <c r="G773" s="7">
        <v>49</v>
      </c>
      <c r="H773" s="7">
        <v>49</v>
      </c>
      <c r="I773" s="1" t="str">
        <f>HYPERLINK("http://slimages.macys.com/is/image/MCY/8775413 ")</f>
        <v xml:space="preserve">http://slimages.macys.com/is/image/MCY/8775413 </v>
      </c>
    </row>
    <row r="774" spans="1:9" x14ac:dyDescent="0.2">
      <c r="A774" s="3">
        <v>11342111</v>
      </c>
      <c r="B774" s="3">
        <v>191935689788</v>
      </c>
      <c r="C774" s="5" t="s">
        <v>60</v>
      </c>
      <c r="D774" s="4" t="s">
        <v>91</v>
      </c>
      <c r="E774" s="6" t="s">
        <v>82</v>
      </c>
      <c r="F774" s="10">
        <v>1</v>
      </c>
      <c r="G774" s="7">
        <v>48</v>
      </c>
      <c r="H774" s="7">
        <v>48</v>
      </c>
      <c r="I774" s="1" t="str">
        <f>HYPERLINK("http://slimages.macys.com/is/image/MCY/9392360 ")</f>
        <v xml:space="preserve">http://slimages.macys.com/is/image/MCY/9392360 </v>
      </c>
    </row>
    <row r="775" spans="1:9" x14ac:dyDescent="0.2">
      <c r="A775" s="3">
        <v>11342111</v>
      </c>
      <c r="B775" s="3">
        <v>191797496111</v>
      </c>
      <c r="C775" s="5" t="s">
        <v>61</v>
      </c>
      <c r="D775" s="4" t="s">
        <v>245</v>
      </c>
      <c r="E775" s="6" t="s">
        <v>85</v>
      </c>
      <c r="F775" s="10">
        <v>1</v>
      </c>
      <c r="G775" s="7">
        <v>48</v>
      </c>
      <c r="H775" s="7">
        <v>48</v>
      </c>
      <c r="I775" s="1" t="str">
        <f>HYPERLINK("http://slimages.macys.com/is/image/MCY/8508325 ")</f>
        <v xml:space="preserve">http://slimages.macys.com/is/image/MCY/8508325 </v>
      </c>
    </row>
    <row r="776" spans="1:9" x14ac:dyDescent="0.2">
      <c r="A776" s="3">
        <v>11342111</v>
      </c>
      <c r="B776" s="3">
        <v>887345843901</v>
      </c>
      <c r="C776" s="5" t="s">
        <v>62</v>
      </c>
      <c r="D776" s="4" t="s">
        <v>81</v>
      </c>
      <c r="E776" s="6" t="s">
        <v>85</v>
      </c>
      <c r="F776" s="10">
        <v>1</v>
      </c>
      <c r="G776" s="7">
        <v>48</v>
      </c>
      <c r="H776" s="7">
        <v>48</v>
      </c>
      <c r="I776" s="1" t="str">
        <f>HYPERLINK("http://slimages.macys.com/is/image/MCY/3009917 ")</f>
        <v xml:space="preserve">http://slimages.macys.com/is/image/MCY/3009917 </v>
      </c>
    </row>
    <row r="777" spans="1:9" x14ac:dyDescent="0.2">
      <c r="A777" s="3">
        <v>11342111</v>
      </c>
      <c r="B777" s="3">
        <v>191797499488</v>
      </c>
      <c r="C777" s="5" t="s">
        <v>63</v>
      </c>
      <c r="D777" s="4" t="s">
        <v>98</v>
      </c>
      <c r="E777" s="6" t="s">
        <v>85</v>
      </c>
      <c r="F777" s="10">
        <v>1</v>
      </c>
      <c r="G777" s="7">
        <v>48</v>
      </c>
      <c r="H777" s="7">
        <v>48</v>
      </c>
      <c r="I777" s="1" t="str">
        <f>HYPERLINK("http://slimages.macys.com/is/image/MCY/8508325 ")</f>
        <v xml:space="preserve">http://slimages.macys.com/is/image/MCY/8508325 </v>
      </c>
    </row>
    <row r="778" spans="1:9" x14ac:dyDescent="0.2">
      <c r="A778" s="3">
        <v>11342111</v>
      </c>
      <c r="B778" s="3">
        <v>889487166566</v>
      </c>
      <c r="C778" s="5" t="s">
        <v>64</v>
      </c>
      <c r="D778" s="4" t="s">
        <v>81</v>
      </c>
      <c r="E778" s="6" t="s">
        <v>65</v>
      </c>
      <c r="F778" s="10">
        <v>1</v>
      </c>
      <c r="G778" s="7">
        <v>48</v>
      </c>
      <c r="H778" s="7">
        <v>48</v>
      </c>
      <c r="I778" s="1" t="str">
        <f>HYPERLINK("http://slimages.macys.com/is/image/MCY/8593935 ")</f>
        <v xml:space="preserve">http://slimages.macys.com/is/image/MCY/8593935 </v>
      </c>
    </row>
    <row r="779" spans="1:9" x14ac:dyDescent="0.2">
      <c r="A779" s="3">
        <v>11342111</v>
      </c>
      <c r="B779" s="3">
        <v>51059558912</v>
      </c>
      <c r="C779" s="5" t="s">
        <v>66</v>
      </c>
      <c r="D779" s="4" t="s">
        <v>81</v>
      </c>
      <c r="E779" s="6" t="s">
        <v>85</v>
      </c>
      <c r="F779" s="10">
        <v>3</v>
      </c>
      <c r="G779" s="7">
        <v>42.5</v>
      </c>
      <c r="H779" s="7">
        <v>127.5</v>
      </c>
      <c r="I779" s="1" t="str">
        <f>HYPERLINK("http://slimages.macys.com/is/image/MCY/8695874 ")</f>
        <v xml:space="preserve">http://slimages.macys.com/is/image/MCY/8695874 </v>
      </c>
    </row>
    <row r="780" spans="1:9" x14ac:dyDescent="0.2">
      <c r="A780" s="3">
        <v>11342111</v>
      </c>
      <c r="B780" s="3">
        <v>190231010821</v>
      </c>
      <c r="C780" s="5" t="s">
        <v>67</v>
      </c>
      <c r="D780" s="4" t="s">
        <v>81</v>
      </c>
      <c r="E780" s="6" t="s">
        <v>85</v>
      </c>
      <c r="F780" s="10">
        <v>2</v>
      </c>
      <c r="G780" s="7">
        <v>40</v>
      </c>
      <c r="H780" s="7">
        <v>80</v>
      </c>
      <c r="I780" s="1" t="str">
        <f>HYPERLINK("http://slimages.macys.com/is/image/MCY/8226362 ")</f>
        <v xml:space="preserve">http://slimages.macys.com/is/image/MCY/8226362 </v>
      </c>
    </row>
    <row r="781" spans="1:9" x14ac:dyDescent="0.2">
      <c r="A781" s="3">
        <v>11342111</v>
      </c>
      <c r="B781" s="3">
        <v>51059790770</v>
      </c>
      <c r="C781" s="5" t="s">
        <v>68</v>
      </c>
      <c r="D781" s="4" t="s">
        <v>105</v>
      </c>
      <c r="E781" s="6" t="s">
        <v>85</v>
      </c>
      <c r="F781" s="10">
        <v>1</v>
      </c>
      <c r="G781" s="7">
        <v>38.5</v>
      </c>
      <c r="H781" s="7">
        <v>38.5</v>
      </c>
      <c r="I781" s="1" t="str">
        <f>HYPERLINK("http://slimages.macys.com/is/image/MCY/9221517 ")</f>
        <v xml:space="preserve">http://slimages.macys.com/is/image/MCY/9221517 </v>
      </c>
    </row>
    <row r="782" spans="1:9" x14ac:dyDescent="0.2">
      <c r="A782" s="3">
        <v>11342111</v>
      </c>
      <c r="B782" s="3">
        <v>732437829410</v>
      </c>
      <c r="C782" s="5" t="s">
        <v>69</v>
      </c>
      <c r="D782" s="4" t="s">
        <v>220</v>
      </c>
      <c r="E782" s="6" t="s">
        <v>85</v>
      </c>
      <c r="F782" s="10">
        <v>1</v>
      </c>
      <c r="G782" s="7">
        <v>38.11</v>
      </c>
      <c r="H782" s="7">
        <v>38.11</v>
      </c>
      <c r="I782" s="1" t="str">
        <f>HYPERLINK("http://slimages.macys.com/is/image/MCY/9681430 ")</f>
        <v xml:space="preserve">http://slimages.macys.com/is/image/MCY/9681430 </v>
      </c>
    </row>
    <row r="783" spans="1:9" x14ac:dyDescent="0.2">
      <c r="A783" s="3">
        <v>11342111</v>
      </c>
      <c r="B783" s="3">
        <v>51059559032</v>
      </c>
      <c r="C783" s="5" t="s">
        <v>70</v>
      </c>
      <c r="D783" s="4" t="s">
        <v>81</v>
      </c>
      <c r="E783" s="6" t="s">
        <v>85</v>
      </c>
      <c r="F783" s="10">
        <v>2</v>
      </c>
      <c r="G783" s="7">
        <v>32.5</v>
      </c>
      <c r="H783" s="7">
        <v>65</v>
      </c>
      <c r="I783" s="1" t="str">
        <f>HYPERLINK("http://slimages.macys.com/is/image/MCY/8702536 ")</f>
        <v xml:space="preserve">http://slimages.macys.com/is/image/MCY/8702536 </v>
      </c>
    </row>
    <row r="784" spans="1:9" x14ac:dyDescent="0.2">
      <c r="A784" s="3">
        <v>11342111</v>
      </c>
      <c r="B784" s="3">
        <v>51059559117</v>
      </c>
      <c r="C784" s="5" t="s">
        <v>71</v>
      </c>
      <c r="D784" s="4" t="s">
        <v>81</v>
      </c>
      <c r="E784" s="6" t="s">
        <v>85</v>
      </c>
      <c r="F784" s="10">
        <v>2</v>
      </c>
      <c r="G784" s="7">
        <v>32.5</v>
      </c>
      <c r="H784" s="7">
        <v>65</v>
      </c>
      <c r="I784" s="1" t="str">
        <f>HYPERLINK("http://slimages.macys.com/is/image/MCY/8641681 ")</f>
        <v xml:space="preserve">http://slimages.macys.com/is/image/MCY/8641681 </v>
      </c>
    </row>
    <row r="785" spans="1:9" x14ac:dyDescent="0.2">
      <c r="A785" s="3">
        <v>11342111</v>
      </c>
      <c r="B785" s="3">
        <v>706257656723</v>
      </c>
      <c r="C785" s="5" t="s">
        <v>72</v>
      </c>
      <c r="D785" s="4" t="s">
        <v>155</v>
      </c>
      <c r="E785" s="6" t="s">
        <v>85</v>
      </c>
      <c r="F785" s="10">
        <v>1</v>
      </c>
      <c r="G785" s="7">
        <v>29.5</v>
      </c>
      <c r="H785" s="7">
        <v>29.5</v>
      </c>
      <c r="I785" s="1" t="str">
        <f>HYPERLINK("http://slimages.macys.com/is/image/MCY/8213728 ")</f>
        <v xml:space="preserve">http://slimages.macys.com/is/image/MCY/8213728 </v>
      </c>
    </row>
    <row r="786" spans="1:9" x14ac:dyDescent="0.2">
      <c r="A786" s="3">
        <v>11342111</v>
      </c>
      <c r="B786" s="3">
        <v>706257656778</v>
      </c>
      <c r="C786" s="5" t="s">
        <v>73</v>
      </c>
      <c r="D786" s="4" t="s">
        <v>96</v>
      </c>
      <c r="E786" s="6" t="s">
        <v>85</v>
      </c>
      <c r="F786" s="10">
        <v>2</v>
      </c>
      <c r="G786" s="7">
        <v>29.5</v>
      </c>
      <c r="H786" s="7">
        <v>59</v>
      </c>
      <c r="I786" s="1" t="str">
        <f>HYPERLINK("http://slimages.macys.com/is/image/MCY/8213734 ")</f>
        <v xml:space="preserve">http://slimages.macys.com/is/image/MCY/8213734 </v>
      </c>
    </row>
    <row r="787" spans="1:9" x14ac:dyDescent="0.2">
      <c r="A787" s="3">
        <v>11342111</v>
      </c>
      <c r="B787" s="3">
        <v>51059558967</v>
      </c>
      <c r="C787" s="5" t="s">
        <v>74</v>
      </c>
      <c r="D787" s="4" t="s">
        <v>81</v>
      </c>
      <c r="E787" s="6" t="s">
        <v>85</v>
      </c>
      <c r="F787" s="10">
        <v>2</v>
      </c>
      <c r="G787" s="7">
        <v>28.5</v>
      </c>
      <c r="H787" s="7">
        <v>57</v>
      </c>
      <c r="I787" s="1" t="str">
        <f>HYPERLINK("http://slimages.macys.com/is/image/MCY/8641683 ")</f>
        <v xml:space="preserve">http://slimages.macys.com/is/image/MCY/8641683 </v>
      </c>
    </row>
    <row r="788" spans="1:9" x14ac:dyDescent="0.2">
      <c r="A788" s="3">
        <v>11342111</v>
      </c>
      <c r="B788" s="3">
        <v>51059384603</v>
      </c>
      <c r="C788" s="5" t="s">
        <v>75</v>
      </c>
      <c r="D788" s="4" t="s">
        <v>81</v>
      </c>
      <c r="E788" s="6" t="s">
        <v>85</v>
      </c>
      <c r="F788" s="10">
        <v>2</v>
      </c>
      <c r="G788" s="7">
        <v>24.5</v>
      </c>
      <c r="H788" s="7">
        <v>49</v>
      </c>
      <c r="I788" s="1" t="str">
        <f>HYPERLINK("http://slimages.macys.com/is/image/MCY/8091259 ")</f>
        <v xml:space="preserve">http://slimages.macys.com/is/image/MCY/8091259 </v>
      </c>
    </row>
    <row r="789" spans="1:9" x14ac:dyDescent="0.2">
      <c r="A789" s="3">
        <v>11342111</v>
      </c>
      <c r="B789" s="3">
        <v>51059201696</v>
      </c>
      <c r="C789" s="5" t="s">
        <v>76</v>
      </c>
      <c r="D789" s="4" t="s">
        <v>81</v>
      </c>
      <c r="E789" s="6" t="s">
        <v>85</v>
      </c>
      <c r="F789" s="10">
        <v>2</v>
      </c>
      <c r="G789" s="7">
        <v>24.5</v>
      </c>
      <c r="H789" s="7">
        <v>49</v>
      </c>
      <c r="I789" s="1" t="str">
        <f>HYPERLINK("http://slimages.macys.com/is/image/MCY/3671424 ")</f>
        <v xml:space="preserve">http://slimages.macys.com/is/image/MCY/3671424 </v>
      </c>
    </row>
    <row r="790" spans="1:9" x14ac:dyDescent="0.2">
      <c r="A790" s="3">
        <v>11342111</v>
      </c>
      <c r="B790" s="3">
        <v>740348981332</v>
      </c>
      <c r="C790" s="5" t="s">
        <v>77</v>
      </c>
      <c r="D790" s="4" t="s">
        <v>91</v>
      </c>
      <c r="E790" s="6" t="s">
        <v>85</v>
      </c>
      <c r="F790" s="10">
        <v>1</v>
      </c>
      <c r="G790" s="7">
        <v>23.33</v>
      </c>
      <c r="H790" s="7">
        <v>23.33</v>
      </c>
      <c r="I790" s="1" t="str">
        <f>HYPERLINK("http://slimages.macys.com/is/image/MCY/9314191 ")</f>
        <v xml:space="preserve">http://slimages.macys.com/is/image/MCY/9314191 </v>
      </c>
    </row>
    <row r="791" spans="1:9" x14ac:dyDescent="0.2">
      <c r="A791" s="3">
        <v>11342111</v>
      </c>
      <c r="B791" s="3">
        <v>5025546444830</v>
      </c>
      <c r="C791" s="5" t="s">
        <v>78</v>
      </c>
      <c r="D791" s="4" t="s">
        <v>98</v>
      </c>
      <c r="E791" s="6" t="s">
        <v>79</v>
      </c>
      <c r="F791" s="10">
        <v>1</v>
      </c>
      <c r="G791" s="7">
        <v>18</v>
      </c>
      <c r="H791" s="7">
        <v>18</v>
      </c>
      <c r="I791" s="1" t="str">
        <f>HYPERLINK("http://slimages.macys.com/is/image/MCY/9553136 ")</f>
        <v xml:space="preserve">http://slimages.macys.com/is/image/MCY/9553136 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2018-12-27T15:22:09Z</dcterms:created>
  <dcterms:modified xsi:type="dcterms:W3CDTF">2019-04-22T07:55:18Z</dcterms:modified>
  <cp:category/>
  <cp:contentStatus/>
</cp:coreProperties>
</file>